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/>
  <mc:AlternateContent xmlns:mc="http://schemas.openxmlformats.org/markup-compatibility/2006">
    <mc:Choice Requires="x15">
      <x15ac:absPath xmlns:x15ac="http://schemas.microsoft.com/office/spreadsheetml/2010/11/ac" url="https://d.docs.live.net/77d6a295dbc18cf4/99.COMPARTILHADAS/IDEIAS AI/04. AI SOFA/"/>
    </mc:Choice>
  </mc:AlternateContent>
  <xr:revisionPtr revIDLastSave="341" documentId="8_{DC35FF3E-E6F6-42C6-9FB4-B5856CCBFE9A}" xr6:coauthVersionLast="47" xr6:coauthVersionMax="47" xr10:uidLastSave="{9903B481-3EFA-4657-8326-4349C2FFB795}"/>
  <bookViews>
    <workbookView xWindow="-120" yWindow="-120" windowWidth="29040" windowHeight="15720" tabRatio="500" activeTab="2" xr2:uid="{00000000-000D-0000-FFFF-FFFF00000000}"/>
  </bookViews>
  <sheets>
    <sheet name="Capas" sheetId="1" r:id="rId1"/>
    <sheet name="Singular Estofados" sheetId="2" r:id="rId2"/>
    <sheet name="Plan1" sheetId="3" r:id="rId3"/>
  </sheets>
  <definedNames>
    <definedName name="_xlnm.Print_Area" localSheetId="0">Capas!$A$1:$N$41</definedName>
    <definedName name="_xlnm.Print_Area" localSheetId="1">'Singular Estofados'!$A$1:$Q$1913</definedName>
    <definedName name="_xlnm.Print_Titles" localSheetId="1">'Singular Estofados'!$1:$1</definedName>
  </definedName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Q1908" i="2" l="1"/>
  <c r="P1908" i="2"/>
  <c r="O1908" i="2"/>
  <c r="N1908" i="2"/>
  <c r="M1908" i="2"/>
  <c r="L1908" i="2"/>
  <c r="K1908" i="2"/>
  <c r="J1908" i="2"/>
  <c r="Q1907" i="2"/>
  <c r="P1907" i="2"/>
  <c r="O1907" i="2"/>
  <c r="N1907" i="2"/>
  <c r="M1907" i="2"/>
  <c r="L1907" i="2"/>
  <c r="K1907" i="2"/>
  <c r="J1907" i="2"/>
  <c r="Q1901" i="2"/>
  <c r="P1901" i="2"/>
  <c r="O1901" i="2"/>
  <c r="N1901" i="2"/>
  <c r="M1901" i="2"/>
  <c r="L1901" i="2"/>
  <c r="K1901" i="2"/>
  <c r="J1901" i="2"/>
  <c r="Q1900" i="2"/>
  <c r="P1900" i="2"/>
  <c r="O1900" i="2"/>
  <c r="N1900" i="2"/>
  <c r="M1900" i="2"/>
  <c r="L1900" i="2"/>
  <c r="K1900" i="2"/>
  <c r="J1900" i="2"/>
  <c r="Q1899" i="2"/>
  <c r="P1899" i="2"/>
  <c r="O1899" i="2"/>
  <c r="N1899" i="2"/>
  <c r="M1899" i="2"/>
  <c r="L1899" i="2"/>
  <c r="K1899" i="2"/>
  <c r="J1899" i="2"/>
  <c r="Q1898" i="2"/>
  <c r="P1898" i="2"/>
  <c r="O1898" i="2"/>
  <c r="N1898" i="2"/>
  <c r="M1898" i="2"/>
  <c r="L1898" i="2"/>
  <c r="K1898" i="2"/>
  <c r="J1898" i="2"/>
  <c r="Q1890" i="2"/>
  <c r="P1890" i="2"/>
  <c r="O1890" i="2"/>
  <c r="N1890" i="2"/>
  <c r="M1890" i="2"/>
  <c r="L1890" i="2"/>
  <c r="K1890" i="2"/>
  <c r="J1890" i="2"/>
  <c r="Q1885" i="2"/>
  <c r="P1885" i="2"/>
  <c r="O1885" i="2"/>
  <c r="N1885" i="2"/>
  <c r="M1885" i="2"/>
  <c r="L1885" i="2"/>
  <c r="K1885" i="2"/>
  <c r="J1885" i="2"/>
  <c r="Q1884" i="2"/>
  <c r="P1884" i="2"/>
  <c r="O1884" i="2"/>
  <c r="N1884" i="2"/>
  <c r="M1884" i="2"/>
  <c r="L1884" i="2"/>
  <c r="K1884" i="2"/>
  <c r="J1884" i="2"/>
  <c r="Q1883" i="2"/>
  <c r="P1883" i="2"/>
  <c r="O1883" i="2"/>
  <c r="N1883" i="2"/>
  <c r="M1883" i="2"/>
  <c r="L1883" i="2"/>
  <c r="K1883" i="2"/>
  <c r="J1883" i="2"/>
  <c r="Q1882" i="2"/>
  <c r="P1882" i="2"/>
  <c r="O1882" i="2"/>
  <c r="N1882" i="2"/>
  <c r="M1882" i="2"/>
  <c r="L1882" i="2"/>
  <c r="K1882" i="2"/>
  <c r="J1882" i="2"/>
  <c r="Q1881" i="2"/>
  <c r="P1881" i="2"/>
  <c r="O1881" i="2"/>
  <c r="N1881" i="2"/>
  <c r="M1881" i="2"/>
  <c r="L1881" i="2"/>
  <c r="K1881" i="2"/>
  <c r="J1881" i="2"/>
  <c r="Q1880" i="2"/>
  <c r="P1880" i="2"/>
  <c r="O1880" i="2"/>
  <c r="N1880" i="2"/>
  <c r="M1880" i="2"/>
  <c r="L1880" i="2"/>
  <c r="K1880" i="2"/>
  <c r="J1880" i="2"/>
  <c r="Q1879" i="2"/>
  <c r="P1879" i="2"/>
  <c r="O1879" i="2"/>
  <c r="N1879" i="2"/>
  <c r="M1879" i="2"/>
  <c r="L1879" i="2"/>
  <c r="K1879" i="2"/>
  <c r="J1879" i="2"/>
  <c r="Q1869" i="2"/>
  <c r="P1869" i="2"/>
  <c r="O1869" i="2"/>
  <c r="N1869" i="2"/>
  <c r="M1869" i="2"/>
  <c r="L1869" i="2"/>
  <c r="K1869" i="2"/>
  <c r="J1869" i="2"/>
  <c r="Q1860" i="2"/>
  <c r="P1860" i="2"/>
  <c r="O1860" i="2"/>
  <c r="N1860" i="2"/>
  <c r="M1860" i="2"/>
  <c r="L1860" i="2"/>
  <c r="K1860" i="2"/>
  <c r="J1860" i="2"/>
  <c r="P1851" i="2"/>
  <c r="O1851" i="2"/>
  <c r="N1851" i="2"/>
  <c r="M1851" i="2"/>
  <c r="L1851" i="2"/>
  <c r="K1851" i="2"/>
  <c r="J1851" i="2"/>
  <c r="P1842" i="2"/>
  <c r="O1842" i="2"/>
  <c r="N1842" i="2"/>
  <c r="M1842" i="2"/>
  <c r="L1842" i="2"/>
  <c r="K1842" i="2"/>
  <c r="J1842" i="2"/>
  <c r="Q1833" i="2"/>
  <c r="P1833" i="2"/>
  <c r="O1833" i="2"/>
  <c r="N1833" i="2"/>
  <c r="M1833" i="2"/>
  <c r="L1833" i="2"/>
  <c r="K1833" i="2"/>
  <c r="J1833" i="2"/>
  <c r="Q1824" i="2"/>
  <c r="P1824" i="2"/>
  <c r="O1824" i="2"/>
  <c r="N1824" i="2"/>
  <c r="M1824" i="2"/>
  <c r="L1824" i="2"/>
  <c r="K1824" i="2"/>
  <c r="J1824" i="2"/>
  <c r="Q1815" i="2"/>
  <c r="P1815" i="2"/>
  <c r="O1815" i="2"/>
  <c r="N1815" i="2"/>
  <c r="M1815" i="2"/>
  <c r="L1815" i="2"/>
  <c r="K1815" i="2"/>
  <c r="J1815" i="2"/>
  <c r="Q1807" i="2"/>
  <c r="P1807" i="2"/>
  <c r="O1807" i="2"/>
  <c r="N1807" i="2"/>
  <c r="M1807" i="2"/>
  <c r="L1807" i="2"/>
  <c r="K1807" i="2"/>
  <c r="J1807" i="2"/>
  <c r="Q1800" i="2"/>
  <c r="P1800" i="2"/>
  <c r="O1800" i="2"/>
  <c r="N1800" i="2"/>
  <c r="M1800" i="2"/>
  <c r="L1800" i="2"/>
  <c r="K1800" i="2"/>
  <c r="J1800" i="2"/>
  <c r="Q1798" i="2"/>
  <c r="P1798" i="2"/>
  <c r="O1798" i="2"/>
  <c r="N1798" i="2"/>
  <c r="M1798" i="2"/>
  <c r="L1798" i="2"/>
  <c r="K1798" i="2"/>
  <c r="J1798" i="2"/>
  <c r="Q1789" i="2"/>
  <c r="P1789" i="2"/>
  <c r="O1789" i="2"/>
  <c r="N1789" i="2"/>
  <c r="M1789" i="2"/>
  <c r="L1789" i="2"/>
  <c r="K1789" i="2"/>
  <c r="J1789" i="2"/>
  <c r="Q1780" i="2"/>
  <c r="P1780" i="2"/>
  <c r="O1780" i="2"/>
  <c r="N1780" i="2"/>
  <c r="M1780" i="2"/>
  <c r="L1780" i="2"/>
  <c r="K1780" i="2"/>
  <c r="J1780" i="2"/>
  <c r="Q1774" i="2"/>
  <c r="P1774" i="2"/>
  <c r="O1774" i="2"/>
  <c r="N1774" i="2"/>
  <c r="M1774" i="2"/>
  <c r="L1774" i="2"/>
  <c r="K1774" i="2"/>
  <c r="J1774" i="2"/>
  <c r="Q1773" i="2"/>
  <c r="P1773" i="2"/>
  <c r="O1773" i="2"/>
  <c r="N1773" i="2"/>
  <c r="M1773" i="2"/>
  <c r="L1773" i="2"/>
  <c r="K1773" i="2"/>
  <c r="J1773" i="2"/>
  <c r="Q1772" i="2"/>
  <c r="P1772" i="2"/>
  <c r="O1772" i="2"/>
  <c r="N1772" i="2"/>
  <c r="M1772" i="2"/>
  <c r="L1772" i="2"/>
  <c r="K1772" i="2"/>
  <c r="J1772" i="2"/>
  <c r="Q1771" i="2"/>
  <c r="P1771" i="2"/>
  <c r="O1771" i="2"/>
  <c r="N1771" i="2"/>
  <c r="M1771" i="2"/>
  <c r="L1771" i="2"/>
  <c r="K1771" i="2"/>
  <c r="J1771" i="2"/>
  <c r="Q1770" i="2"/>
  <c r="P1770" i="2"/>
  <c r="O1770" i="2"/>
  <c r="N1770" i="2"/>
  <c r="M1770" i="2"/>
  <c r="L1770" i="2"/>
  <c r="K1770" i="2"/>
  <c r="J1770" i="2"/>
  <c r="Q1768" i="2"/>
  <c r="P1768" i="2"/>
  <c r="O1768" i="2"/>
  <c r="N1768" i="2"/>
  <c r="M1768" i="2"/>
  <c r="L1768" i="2"/>
  <c r="K1768" i="2"/>
  <c r="J1768" i="2"/>
  <c r="Q1767" i="2"/>
  <c r="P1767" i="2"/>
  <c r="O1767" i="2"/>
  <c r="N1767" i="2"/>
  <c r="M1767" i="2"/>
  <c r="L1767" i="2"/>
  <c r="K1767" i="2"/>
  <c r="J1767" i="2"/>
  <c r="Q1766" i="2"/>
  <c r="P1766" i="2"/>
  <c r="O1766" i="2"/>
  <c r="N1766" i="2"/>
  <c r="M1766" i="2"/>
  <c r="L1766" i="2"/>
  <c r="K1766" i="2"/>
  <c r="J1766" i="2"/>
  <c r="Q1765" i="2"/>
  <c r="P1765" i="2"/>
  <c r="O1765" i="2"/>
  <c r="N1765" i="2"/>
  <c r="M1765" i="2"/>
  <c r="L1765" i="2"/>
  <c r="K1765" i="2"/>
  <c r="J1765" i="2"/>
  <c r="Q1764" i="2"/>
  <c r="P1764" i="2"/>
  <c r="O1764" i="2"/>
  <c r="N1764" i="2"/>
  <c r="M1764" i="2"/>
  <c r="L1764" i="2"/>
  <c r="K1764" i="2"/>
  <c r="J1764" i="2"/>
  <c r="Q1758" i="2"/>
  <c r="P1758" i="2"/>
  <c r="O1758" i="2"/>
  <c r="N1758" i="2"/>
  <c r="M1758" i="2"/>
  <c r="L1758" i="2"/>
  <c r="K1758" i="2"/>
  <c r="J1758" i="2"/>
  <c r="Q1757" i="2"/>
  <c r="P1757" i="2"/>
  <c r="O1757" i="2"/>
  <c r="N1757" i="2"/>
  <c r="M1757" i="2"/>
  <c r="L1757" i="2"/>
  <c r="K1757" i="2"/>
  <c r="J1757" i="2"/>
  <c r="Q1756" i="2"/>
  <c r="P1756" i="2"/>
  <c r="O1756" i="2"/>
  <c r="N1756" i="2"/>
  <c r="M1756" i="2"/>
  <c r="L1756" i="2"/>
  <c r="K1756" i="2"/>
  <c r="J1756" i="2"/>
  <c r="Q1755" i="2"/>
  <c r="P1755" i="2"/>
  <c r="O1755" i="2"/>
  <c r="N1755" i="2"/>
  <c r="M1755" i="2"/>
  <c r="L1755" i="2"/>
  <c r="K1755" i="2"/>
  <c r="J1755" i="2"/>
  <c r="Q1754" i="2"/>
  <c r="P1754" i="2"/>
  <c r="O1754" i="2"/>
  <c r="N1754" i="2"/>
  <c r="M1754" i="2"/>
  <c r="L1754" i="2"/>
  <c r="K1754" i="2"/>
  <c r="J1754" i="2"/>
  <c r="Q1752" i="2"/>
  <c r="P1752" i="2"/>
  <c r="O1752" i="2"/>
  <c r="N1752" i="2"/>
  <c r="M1752" i="2"/>
  <c r="L1752" i="2"/>
  <c r="K1752" i="2"/>
  <c r="J1752" i="2"/>
  <c r="Q1751" i="2"/>
  <c r="P1751" i="2"/>
  <c r="O1751" i="2"/>
  <c r="N1751" i="2"/>
  <c r="M1751" i="2"/>
  <c r="L1751" i="2"/>
  <c r="K1751" i="2"/>
  <c r="J1751" i="2"/>
  <c r="Q1750" i="2"/>
  <c r="P1750" i="2"/>
  <c r="O1750" i="2"/>
  <c r="N1750" i="2"/>
  <c r="M1750" i="2"/>
  <c r="L1750" i="2"/>
  <c r="K1750" i="2"/>
  <c r="J1750" i="2"/>
  <c r="Q1749" i="2"/>
  <c r="P1749" i="2"/>
  <c r="O1749" i="2"/>
  <c r="N1749" i="2"/>
  <c r="M1749" i="2"/>
  <c r="L1749" i="2"/>
  <c r="K1749" i="2"/>
  <c r="J1749" i="2"/>
  <c r="Q1748" i="2"/>
  <c r="P1748" i="2"/>
  <c r="O1748" i="2"/>
  <c r="N1748" i="2"/>
  <c r="M1748" i="2"/>
  <c r="L1748" i="2"/>
  <c r="K1748" i="2"/>
  <c r="J1748" i="2"/>
  <c r="Q1742" i="2"/>
  <c r="P1742" i="2"/>
  <c r="O1742" i="2"/>
  <c r="N1742" i="2"/>
  <c r="M1742" i="2"/>
  <c r="L1742" i="2"/>
  <c r="K1742" i="2"/>
  <c r="J1742" i="2"/>
  <c r="Q1741" i="2"/>
  <c r="P1741" i="2"/>
  <c r="O1741" i="2"/>
  <c r="N1741" i="2"/>
  <c r="M1741" i="2"/>
  <c r="L1741" i="2"/>
  <c r="K1741" i="2"/>
  <c r="J1741" i="2"/>
  <c r="Q1740" i="2"/>
  <c r="P1740" i="2"/>
  <c r="O1740" i="2"/>
  <c r="N1740" i="2"/>
  <c r="M1740" i="2"/>
  <c r="L1740" i="2"/>
  <c r="K1740" i="2"/>
  <c r="J1740" i="2"/>
  <c r="Q1739" i="2"/>
  <c r="P1739" i="2"/>
  <c r="O1739" i="2"/>
  <c r="N1739" i="2"/>
  <c r="M1739" i="2"/>
  <c r="L1739" i="2"/>
  <c r="K1739" i="2"/>
  <c r="J1739" i="2"/>
  <c r="Q1738" i="2"/>
  <c r="P1738" i="2"/>
  <c r="O1738" i="2"/>
  <c r="N1738" i="2"/>
  <c r="M1738" i="2"/>
  <c r="L1738" i="2"/>
  <c r="K1738" i="2"/>
  <c r="J1738" i="2"/>
  <c r="Q1736" i="2"/>
  <c r="P1736" i="2"/>
  <c r="O1736" i="2"/>
  <c r="N1736" i="2"/>
  <c r="M1736" i="2"/>
  <c r="L1736" i="2"/>
  <c r="K1736" i="2"/>
  <c r="J1736" i="2"/>
  <c r="Q1735" i="2"/>
  <c r="P1735" i="2"/>
  <c r="O1735" i="2"/>
  <c r="N1735" i="2"/>
  <c r="M1735" i="2"/>
  <c r="L1735" i="2"/>
  <c r="K1735" i="2"/>
  <c r="J1735" i="2"/>
  <c r="Q1734" i="2"/>
  <c r="P1734" i="2"/>
  <c r="O1734" i="2"/>
  <c r="N1734" i="2"/>
  <c r="M1734" i="2"/>
  <c r="L1734" i="2"/>
  <c r="K1734" i="2"/>
  <c r="J1734" i="2"/>
  <c r="Q1733" i="2"/>
  <c r="P1733" i="2"/>
  <c r="O1733" i="2"/>
  <c r="N1733" i="2"/>
  <c r="M1733" i="2"/>
  <c r="L1733" i="2"/>
  <c r="K1733" i="2"/>
  <c r="J1733" i="2"/>
  <c r="Q1732" i="2"/>
  <c r="P1732" i="2"/>
  <c r="O1732" i="2"/>
  <c r="N1732" i="2"/>
  <c r="M1732" i="2"/>
  <c r="L1732" i="2"/>
  <c r="K1732" i="2"/>
  <c r="J1732" i="2"/>
  <c r="Q1726" i="2"/>
  <c r="P1726" i="2"/>
  <c r="O1726" i="2"/>
  <c r="N1726" i="2"/>
  <c r="M1726" i="2"/>
  <c r="L1726" i="2"/>
  <c r="K1726" i="2"/>
  <c r="J1726" i="2"/>
  <c r="Q1725" i="2"/>
  <c r="P1725" i="2"/>
  <c r="O1725" i="2"/>
  <c r="N1725" i="2"/>
  <c r="M1725" i="2"/>
  <c r="L1725" i="2"/>
  <c r="K1725" i="2"/>
  <c r="J1725" i="2"/>
  <c r="Q1724" i="2"/>
  <c r="P1724" i="2"/>
  <c r="O1724" i="2"/>
  <c r="N1724" i="2"/>
  <c r="M1724" i="2"/>
  <c r="L1724" i="2"/>
  <c r="K1724" i="2"/>
  <c r="J1724" i="2"/>
  <c r="Q1723" i="2"/>
  <c r="P1723" i="2"/>
  <c r="O1723" i="2"/>
  <c r="N1723" i="2"/>
  <c r="M1723" i="2"/>
  <c r="L1723" i="2"/>
  <c r="K1723" i="2"/>
  <c r="J1723" i="2"/>
  <c r="Q1722" i="2"/>
  <c r="P1722" i="2"/>
  <c r="O1722" i="2"/>
  <c r="N1722" i="2"/>
  <c r="M1722" i="2"/>
  <c r="L1722" i="2"/>
  <c r="K1722" i="2"/>
  <c r="J1722" i="2"/>
  <c r="Q1720" i="2"/>
  <c r="P1720" i="2"/>
  <c r="O1720" i="2"/>
  <c r="N1720" i="2"/>
  <c r="M1720" i="2"/>
  <c r="L1720" i="2"/>
  <c r="K1720" i="2"/>
  <c r="J1720" i="2"/>
  <c r="Q1719" i="2"/>
  <c r="P1719" i="2"/>
  <c r="O1719" i="2"/>
  <c r="N1719" i="2"/>
  <c r="M1719" i="2"/>
  <c r="L1719" i="2"/>
  <c r="K1719" i="2"/>
  <c r="J1719" i="2"/>
  <c r="Q1718" i="2"/>
  <c r="P1718" i="2"/>
  <c r="O1718" i="2"/>
  <c r="N1718" i="2"/>
  <c r="M1718" i="2"/>
  <c r="L1718" i="2"/>
  <c r="K1718" i="2"/>
  <c r="J1718" i="2"/>
  <c r="Q1717" i="2"/>
  <c r="P1717" i="2"/>
  <c r="O1717" i="2"/>
  <c r="N1717" i="2"/>
  <c r="M1717" i="2"/>
  <c r="L1717" i="2"/>
  <c r="K1717" i="2"/>
  <c r="J1717" i="2"/>
  <c r="Q1716" i="2"/>
  <c r="P1716" i="2"/>
  <c r="O1716" i="2"/>
  <c r="N1716" i="2"/>
  <c r="M1716" i="2"/>
  <c r="L1716" i="2"/>
  <c r="K1716" i="2"/>
  <c r="J1716" i="2"/>
  <c r="Q1710" i="2"/>
  <c r="P1710" i="2"/>
  <c r="O1710" i="2"/>
  <c r="N1710" i="2"/>
  <c r="M1710" i="2"/>
  <c r="L1710" i="2"/>
  <c r="K1710" i="2"/>
  <c r="J1710" i="2"/>
  <c r="Q1709" i="2"/>
  <c r="P1709" i="2"/>
  <c r="O1709" i="2"/>
  <c r="N1709" i="2"/>
  <c r="M1709" i="2"/>
  <c r="L1709" i="2"/>
  <c r="K1709" i="2"/>
  <c r="J1709" i="2"/>
  <c r="Q1708" i="2"/>
  <c r="P1708" i="2"/>
  <c r="O1708" i="2"/>
  <c r="N1708" i="2"/>
  <c r="M1708" i="2"/>
  <c r="L1708" i="2"/>
  <c r="K1708" i="2"/>
  <c r="J1708" i="2"/>
  <c r="Q1707" i="2"/>
  <c r="P1707" i="2"/>
  <c r="O1707" i="2"/>
  <c r="N1707" i="2"/>
  <c r="M1707" i="2"/>
  <c r="L1707" i="2"/>
  <c r="K1707" i="2"/>
  <c r="J1707" i="2"/>
  <c r="Q1706" i="2"/>
  <c r="P1706" i="2"/>
  <c r="O1706" i="2"/>
  <c r="N1706" i="2"/>
  <c r="M1706" i="2"/>
  <c r="L1706" i="2"/>
  <c r="K1706" i="2"/>
  <c r="J1706" i="2"/>
  <c r="Q1704" i="2"/>
  <c r="P1704" i="2"/>
  <c r="O1704" i="2"/>
  <c r="N1704" i="2"/>
  <c r="M1704" i="2"/>
  <c r="L1704" i="2"/>
  <c r="K1704" i="2"/>
  <c r="J1704" i="2"/>
  <c r="Q1703" i="2"/>
  <c r="P1703" i="2"/>
  <c r="O1703" i="2"/>
  <c r="N1703" i="2"/>
  <c r="M1703" i="2"/>
  <c r="L1703" i="2"/>
  <c r="K1703" i="2"/>
  <c r="J1703" i="2"/>
  <c r="Q1702" i="2"/>
  <c r="P1702" i="2"/>
  <c r="O1702" i="2"/>
  <c r="N1702" i="2"/>
  <c r="M1702" i="2"/>
  <c r="L1702" i="2"/>
  <c r="K1702" i="2"/>
  <c r="J1702" i="2"/>
  <c r="Q1701" i="2"/>
  <c r="P1701" i="2"/>
  <c r="O1701" i="2"/>
  <c r="N1701" i="2"/>
  <c r="M1701" i="2"/>
  <c r="L1701" i="2"/>
  <c r="K1701" i="2"/>
  <c r="J1701" i="2"/>
  <c r="Q1700" i="2"/>
  <c r="P1700" i="2"/>
  <c r="O1700" i="2"/>
  <c r="N1700" i="2"/>
  <c r="M1700" i="2"/>
  <c r="L1700" i="2"/>
  <c r="K1700" i="2"/>
  <c r="J1700" i="2"/>
  <c r="Q1694" i="2"/>
  <c r="P1694" i="2"/>
  <c r="O1694" i="2"/>
  <c r="N1694" i="2"/>
  <c r="M1694" i="2"/>
  <c r="L1694" i="2"/>
  <c r="K1694" i="2"/>
  <c r="J1694" i="2"/>
  <c r="Q1693" i="2"/>
  <c r="P1693" i="2"/>
  <c r="O1693" i="2"/>
  <c r="N1693" i="2"/>
  <c r="M1693" i="2"/>
  <c r="L1693" i="2"/>
  <c r="K1693" i="2"/>
  <c r="J1693" i="2"/>
  <c r="Q1692" i="2"/>
  <c r="P1692" i="2"/>
  <c r="O1692" i="2"/>
  <c r="N1692" i="2"/>
  <c r="M1692" i="2"/>
  <c r="L1692" i="2"/>
  <c r="K1692" i="2"/>
  <c r="J1692" i="2"/>
  <c r="Q1691" i="2"/>
  <c r="P1691" i="2"/>
  <c r="O1691" i="2"/>
  <c r="N1691" i="2"/>
  <c r="M1691" i="2"/>
  <c r="L1691" i="2"/>
  <c r="K1691" i="2"/>
  <c r="J1691" i="2"/>
  <c r="Q1690" i="2"/>
  <c r="P1690" i="2"/>
  <c r="O1690" i="2"/>
  <c r="N1690" i="2"/>
  <c r="M1690" i="2"/>
  <c r="L1690" i="2"/>
  <c r="K1690" i="2"/>
  <c r="J1690" i="2"/>
  <c r="Q1688" i="2"/>
  <c r="P1688" i="2"/>
  <c r="O1688" i="2"/>
  <c r="N1688" i="2"/>
  <c r="M1688" i="2"/>
  <c r="L1688" i="2"/>
  <c r="K1688" i="2"/>
  <c r="J1688" i="2"/>
  <c r="Q1687" i="2"/>
  <c r="P1687" i="2"/>
  <c r="O1687" i="2"/>
  <c r="N1687" i="2"/>
  <c r="M1687" i="2"/>
  <c r="L1687" i="2"/>
  <c r="K1687" i="2"/>
  <c r="J1687" i="2"/>
  <c r="Q1686" i="2"/>
  <c r="P1686" i="2"/>
  <c r="O1686" i="2"/>
  <c r="N1686" i="2"/>
  <c r="M1686" i="2"/>
  <c r="L1686" i="2"/>
  <c r="K1686" i="2"/>
  <c r="J1686" i="2"/>
  <c r="Q1685" i="2"/>
  <c r="P1685" i="2"/>
  <c r="O1685" i="2"/>
  <c r="N1685" i="2"/>
  <c r="M1685" i="2"/>
  <c r="L1685" i="2"/>
  <c r="K1685" i="2"/>
  <c r="J1685" i="2"/>
  <c r="Q1684" i="2"/>
  <c r="P1684" i="2"/>
  <c r="O1684" i="2"/>
  <c r="N1684" i="2"/>
  <c r="M1684" i="2"/>
  <c r="L1684" i="2"/>
  <c r="K1684" i="2"/>
  <c r="J1684" i="2"/>
  <c r="Q1678" i="2"/>
  <c r="P1678" i="2"/>
  <c r="O1678" i="2"/>
  <c r="N1678" i="2"/>
  <c r="M1678" i="2"/>
  <c r="L1678" i="2"/>
  <c r="K1678" i="2"/>
  <c r="J1678" i="2"/>
  <c r="Q1677" i="2"/>
  <c r="P1677" i="2"/>
  <c r="O1677" i="2"/>
  <c r="N1677" i="2"/>
  <c r="M1677" i="2"/>
  <c r="L1677" i="2"/>
  <c r="K1677" i="2"/>
  <c r="J1677" i="2"/>
  <c r="Q1676" i="2"/>
  <c r="P1676" i="2"/>
  <c r="O1676" i="2"/>
  <c r="N1676" i="2"/>
  <c r="M1676" i="2"/>
  <c r="L1676" i="2"/>
  <c r="K1676" i="2"/>
  <c r="J1676" i="2"/>
  <c r="Q1675" i="2"/>
  <c r="P1675" i="2"/>
  <c r="O1675" i="2"/>
  <c r="N1675" i="2"/>
  <c r="M1675" i="2"/>
  <c r="L1675" i="2"/>
  <c r="K1675" i="2"/>
  <c r="J1675" i="2"/>
  <c r="Q1674" i="2"/>
  <c r="P1674" i="2"/>
  <c r="O1674" i="2"/>
  <c r="N1674" i="2"/>
  <c r="M1674" i="2"/>
  <c r="L1674" i="2"/>
  <c r="K1674" i="2"/>
  <c r="J1674" i="2"/>
  <c r="Q1668" i="2"/>
  <c r="P1668" i="2"/>
  <c r="O1668" i="2"/>
  <c r="N1668" i="2"/>
  <c r="M1668" i="2"/>
  <c r="L1668" i="2"/>
  <c r="K1668" i="2"/>
  <c r="J1668" i="2"/>
  <c r="Q1667" i="2"/>
  <c r="P1667" i="2"/>
  <c r="O1667" i="2"/>
  <c r="N1667" i="2"/>
  <c r="M1667" i="2"/>
  <c r="L1667" i="2"/>
  <c r="K1667" i="2"/>
  <c r="J1667" i="2"/>
  <c r="Q1666" i="2"/>
  <c r="P1666" i="2"/>
  <c r="O1666" i="2"/>
  <c r="N1666" i="2"/>
  <c r="M1666" i="2"/>
  <c r="L1666" i="2"/>
  <c r="K1666" i="2"/>
  <c r="J1666" i="2"/>
  <c r="Q1665" i="2"/>
  <c r="P1665" i="2"/>
  <c r="O1665" i="2"/>
  <c r="N1665" i="2"/>
  <c r="M1665" i="2"/>
  <c r="L1665" i="2"/>
  <c r="K1665" i="2"/>
  <c r="J1665" i="2"/>
  <c r="Q1664" i="2"/>
  <c r="P1664" i="2"/>
  <c r="O1664" i="2"/>
  <c r="N1664" i="2"/>
  <c r="M1664" i="2"/>
  <c r="L1664" i="2"/>
  <c r="K1664" i="2"/>
  <c r="J1664" i="2"/>
  <c r="Q1658" i="2"/>
  <c r="P1658" i="2"/>
  <c r="O1658" i="2"/>
  <c r="N1658" i="2"/>
  <c r="M1658" i="2"/>
  <c r="L1658" i="2"/>
  <c r="K1658" i="2"/>
  <c r="J1658" i="2"/>
  <c r="Q1657" i="2"/>
  <c r="P1657" i="2"/>
  <c r="O1657" i="2"/>
  <c r="N1657" i="2"/>
  <c r="M1657" i="2"/>
  <c r="L1657" i="2"/>
  <c r="K1657" i="2"/>
  <c r="J1657" i="2"/>
  <c r="Q1656" i="2"/>
  <c r="P1656" i="2"/>
  <c r="O1656" i="2"/>
  <c r="N1656" i="2"/>
  <c r="M1656" i="2"/>
  <c r="L1656" i="2"/>
  <c r="K1656" i="2"/>
  <c r="J1656" i="2"/>
  <c r="Q1654" i="2"/>
  <c r="P1654" i="2"/>
  <c r="O1654" i="2"/>
  <c r="N1654" i="2"/>
  <c r="M1654" i="2"/>
  <c r="L1654" i="2"/>
  <c r="K1654" i="2"/>
  <c r="J1654" i="2"/>
  <c r="Q1653" i="2"/>
  <c r="P1653" i="2"/>
  <c r="O1653" i="2"/>
  <c r="N1653" i="2"/>
  <c r="M1653" i="2"/>
  <c r="L1653" i="2"/>
  <c r="K1653" i="2"/>
  <c r="J1653" i="2"/>
  <c r="Q1652" i="2"/>
  <c r="P1652" i="2"/>
  <c r="O1652" i="2"/>
  <c r="N1652" i="2"/>
  <c r="M1652" i="2"/>
  <c r="L1652" i="2"/>
  <c r="K1652" i="2"/>
  <c r="J1652" i="2"/>
  <c r="Q1651" i="2"/>
  <c r="P1651" i="2"/>
  <c r="O1651" i="2"/>
  <c r="N1651" i="2"/>
  <c r="M1651" i="2"/>
  <c r="L1651" i="2"/>
  <c r="J1651" i="2"/>
  <c r="Q1650" i="2"/>
  <c r="P1650" i="2"/>
  <c r="O1650" i="2"/>
  <c r="N1650" i="2"/>
  <c r="M1650" i="2"/>
  <c r="L1650" i="2"/>
  <c r="K1650" i="2"/>
  <c r="J1650" i="2"/>
  <c r="Q1648" i="2"/>
  <c r="P1648" i="2"/>
  <c r="O1648" i="2"/>
  <c r="N1648" i="2"/>
  <c r="M1648" i="2"/>
  <c r="L1648" i="2"/>
  <c r="K1648" i="2"/>
  <c r="J1648" i="2"/>
  <c r="Q1647" i="2"/>
  <c r="P1647" i="2"/>
  <c r="O1647" i="2"/>
  <c r="N1647" i="2"/>
  <c r="M1647" i="2"/>
  <c r="L1647" i="2"/>
  <c r="K1647" i="2"/>
  <c r="J1647" i="2"/>
  <c r="Q1646" i="2"/>
  <c r="P1646" i="2"/>
  <c r="O1646" i="2"/>
  <c r="N1646" i="2"/>
  <c r="M1646" i="2"/>
  <c r="L1646" i="2"/>
  <c r="K1646" i="2"/>
  <c r="J1646" i="2"/>
  <c r="Q1645" i="2"/>
  <c r="P1645" i="2"/>
  <c r="O1645" i="2"/>
  <c r="N1645" i="2"/>
  <c r="M1645" i="2"/>
  <c r="L1645" i="2"/>
  <c r="K1645" i="2"/>
  <c r="J1645" i="2"/>
  <c r="Q1644" i="2"/>
  <c r="P1644" i="2"/>
  <c r="O1644" i="2"/>
  <c r="N1644" i="2"/>
  <c r="M1644" i="2"/>
  <c r="L1644" i="2"/>
  <c r="K1644" i="2"/>
  <c r="J1644" i="2"/>
  <c r="Q1637" i="2"/>
  <c r="P1637" i="2"/>
  <c r="O1637" i="2"/>
  <c r="N1637" i="2"/>
  <c r="M1637" i="2"/>
  <c r="L1637" i="2"/>
  <c r="K1637" i="2"/>
  <c r="J1637" i="2"/>
  <c r="Q1636" i="2"/>
  <c r="P1636" i="2"/>
  <c r="O1636" i="2"/>
  <c r="N1636" i="2"/>
  <c r="M1636" i="2"/>
  <c r="L1636" i="2"/>
  <c r="K1636" i="2"/>
  <c r="J1636" i="2"/>
  <c r="Q1635" i="2"/>
  <c r="P1635" i="2"/>
  <c r="O1635" i="2"/>
  <c r="N1635" i="2"/>
  <c r="M1635" i="2"/>
  <c r="L1635" i="2"/>
  <c r="K1635" i="2"/>
  <c r="J1635" i="2"/>
  <c r="Q1633" i="2"/>
  <c r="P1633" i="2"/>
  <c r="O1633" i="2"/>
  <c r="N1633" i="2"/>
  <c r="M1633" i="2"/>
  <c r="L1633" i="2"/>
  <c r="K1633" i="2"/>
  <c r="J1633" i="2"/>
  <c r="Q1632" i="2"/>
  <c r="P1632" i="2"/>
  <c r="O1632" i="2"/>
  <c r="N1632" i="2"/>
  <c r="M1632" i="2"/>
  <c r="L1632" i="2"/>
  <c r="K1632" i="2"/>
  <c r="J1632" i="2"/>
  <c r="Q1631" i="2"/>
  <c r="P1631" i="2"/>
  <c r="O1631" i="2"/>
  <c r="N1631" i="2"/>
  <c r="M1631" i="2"/>
  <c r="L1631" i="2"/>
  <c r="K1631" i="2"/>
  <c r="J1631" i="2"/>
  <c r="Q1629" i="2"/>
  <c r="P1629" i="2"/>
  <c r="O1629" i="2"/>
  <c r="N1629" i="2"/>
  <c r="M1629" i="2"/>
  <c r="L1629" i="2"/>
  <c r="K1629" i="2"/>
  <c r="J1629" i="2"/>
  <c r="Q1628" i="2"/>
  <c r="P1628" i="2"/>
  <c r="O1628" i="2"/>
  <c r="N1628" i="2"/>
  <c r="M1628" i="2"/>
  <c r="L1628" i="2"/>
  <c r="K1628" i="2"/>
  <c r="J1628" i="2"/>
  <c r="Q1627" i="2"/>
  <c r="P1627" i="2"/>
  <c r="O1627" i="2"/>
  <c r="N1627" i="2"/>
  <c r="M1627" i="2"/>
  <c r="L1627" i="2"/>
  <c r="K1627" i="2"/>
  <c r="J1627" i="2"/>
  <c r="Q1621" i="2"/>
  <c r="P1621" i="2"/>
  <c r="O1621" i="2"/>
  <c r="N1621" i="2"/>
  <c r="M1621" i="2"/>
  <c r="L1621" i="2"/>
  <c r="K1621" i="2"/>
  <c r="J1621" i="2"/>
  <c r="Q1619" i="2"/>
  <c r="P1619" i="2"/>
  <c r="O1619" i="2"/>
  <c r="N1619" i="2"/>
  <c r="M1619" i="2"/>
  <c r="L1619" i="2"/>
  <c r="K1619" i="2"/>
  <c r="J1619" i="2"/>
  <c r="Q1618" i="2"/>
  <c r="P1618" i="2"/>
  <c r="O1618" i="2"/>
  <c r="N1618" i="2"/>
  <c r="M1618" i="2"/>
  <c r="L1618" i="2"/>
  <c r="K1618" i="2"/>
  <c r="J1618" i="2"/>
  <c r="Q1617" i="2"/>
  <c r="P1617" i="2"/>
  <c r="O1617" i="2"/>
  <c r="N1617" i="2"/>
  <c r="M1617" i="2"/>
  <c r="L1617" i="2"/>
  <c r="K1617" i="2"/>
  <c r="J1617" i="2"/>
  <c r="Q1615" i="2"/>
  <c r="P1615" i="2"/>
  <c r="O1615" i="2"/>
  <c r="N1615" i="2"/>
  <c r="M1615" i="2"/>
  <c r="L1615" i="2"/>
  <c r="K1615" i="2"/>
  <c r="J1615" i="2"/>
  <c r="Q1614" i="2"/>
  <c r="P1614" i="2"/>
  <c r="O1614" i="2"/>
  <c r="N1614" i="2"/>
  <c r="M1614" i="2"/>
  <c r="L1614" i="2"/>
  <c r="K1614" i="2"/>
  <c r="J1614" i="2"/>
  <c r="Q1613" i="2"/>
  <c r="P1613" i="2"/>
  <c r="O1613" i="2"/>
  <c r="N1613" i="2"/>
  <c r="M1613" i="2"/>
  <c r="L1613" i="2"/>
  <c r="K1613" i="2"/>
  <c r="J1613" i="2"/>
  <c r="Q1612" i="2"/>
  <c r="P1612" i="2"/>
  <c r="O1612" i="2"/>
  <c r="N1612" i="2"/>
  <c r="M1612" i="2"/>
  <c r="L1612" i="2"/>
  <c r="K1612" i="2"/>
  <c r="J1612" i="2"/>
  <c r="Q1611" i="2"/>
  <c r="P1611" i="2"/>
  <c r="O1611" i="2"/>
  <c r="N1611" i="2"/>
  <c r="M1611" i="2"/>
  <c r="L1611" i="2"/>
  <c r="K1611" i="2"/>
  <c r="J1611" i="2"/>
  <c r="Q1605" i="2"/>
  <c r="P1605" i="2"/>
  <c r="O1605" i="2"/>
  <c r="N1605" i="2"/>
  <c r="M1605" i="2"/>
  <c r="L1605" i="2"/>
  <c r="K1605" i="2"/>
  <c r="J1605" i="2"/>
  <c r="Q1604" i="2"/>
  <c r="P1604" i="2"/>
  <c r="O1604" i="2"/>
  <c r="N1604" i="2"/>
  <c r="M1604" i="2"/>
  <c r="L1604" i="2"/>
  <c r="K1604" i="2"/>
  <c r="J1604" i="2"/>
  <c r="Q1603" i="2"/>
  <c r="P1603" i="2"/>
  <c r="O1603" i="2"/>
  <c r="N1603" i="2"/>
  <c r="M1603" i="2"/>
  <c r="L1603" i="2"/>
  <c r="K1603" i="2"/>
  <c r="J1603" i="2"/>
  <c r="Q1602" i="2"/>
  <c r="P1602" i="2"/>
  <c r="O1602" i="2"/>
  <c r="N1602" i="2"/>
  <c r="M1602" i="2"/>
  <c r="L1602" i="2"/>
  <c r="K1602" i="2"/>
  <c r="J1602" i="2"/>
  <c r="Q1601" i="2"/>
  <c r="P1601" i="2"/>
  <c r="O1601" i="2"/>
  <c r="N1601" i="2"/>
  <c r="M1601" i="2"/>
  <c r="L1601" i="2"/>
  <c r="K1601" i="2"/>
  <c r="J1601" i="2"/>
  <c r="Q1599" i="2"/>
  <c r="P1599" i="2"/>
  <c r="O1599" i="2"/>
  <c r="N1599" i="2"/>
  <c r="M1599" i="2"/>
  <c r="L1599" i="2"/>
  <c r="K1599" i="2"/>
  <c r="J1599" i="2"/>
  <c r="Q1598" i="2"/>
  <c r="P1598" i="2"/>
  <c r="O1598" i="2"/>
  <c r="N1598" i="2"/>
  <c r="M1598" i="2"/>
  <c r="L1598" i="2"/>
  <c r="K1598" i="2"/>
  <c r="J1598" i="2"/>
  <c r="Q1597" i="2"/>
  <c r="P1597" i="2"/>
  <c r="O1597" i="2"/>
  <c r="N1597" i="2"/>
  <c r="M1597" i="2"/>
  <c r="L1597" i="2"/>
  <c r="K1597" i="2"/>
  <c r="J1597" i="2"/>
  <c r="Q1596" i="2"/>
  <c r="P1596" i="2"/>
  <c r="O1596" i="2"/>
  <c r="N1596" i="2"/>
  <c r="M1596" i="2"/>
  <c r="L1596" i="2"/>
  <c r="K1596" i="2"/>
  <c r="J1596" i="2"/>
  <c r="Q1595" i="2"/>
  <c r="P1595" i="2"/>
  <c r="O1595" i="2"/>
  <c r="N1595" i="2"/>
  <c r="M1595" i="2"/>
  <c r="L1595" i="2"/>
  <c r="K1595" i="2"/>
  <c r="J1595" i="2"/>
  <c r="Q1589" i="2"/>
  <c r="P1589" i="2"/>
  <c r="O1589" i="2"/>
  <c r="N1589" i="2"/>
  <c r="M1589" i="2"/>
  <c r="L1589" i="2"/>
  <c r="K1589" i="2"/>
  <c r="J1589" i="2"/>
  <c r="Q1588" i="2"/>
  <c r="P1588" i="2"/>
  <c r="O1588" i="2"/>
  <c r="N1588" i="2"/>
  <c r="M1588" i="2"/>
  <c r="L1588" i="2"/>
  <c r="K1588" i="2"/>
  <c r="J1588" i="2"/>
  <c r="Q1587" i="2"/>
  <c r="P1587" i="2"/>
  <c r="O1587" i="2"/>
  <c r="N1587" i="2"/>
  <c r="M1587" i="2"/>
  <c r="L1587" i="2"/>
  <c r="K1587" i="2"/>
  <c r="J1587" i="2"/>
  <c r="Q1586" i="2"/>
  <c r="P1586" i="2"/>
  <c r="O1586" i="2"/>
  <c r="N1586" i="2"/>
  <c r="M1586" i="2"/>
  <c r="L1586" i="2"/>
  <c r="K1586" i="2"/>
  <c r="J1586" i="2"/>
  <c r="Q1585" i="2"/>
  <c r="P1585" i="2"/>
  <c r="O1585" i="2"/>
  <c r="N1585" i="2"/>
  <c r="M1585" i="2"/>
  <c r="L1585" i="2"/>
  <c r="K1585" i="2"/>
  <c r="J1585" i="2"/>
  <c r="Q1583" i="2"/>
  <c r="P1583" i="2"/>
  <c r="O1583" i="2"/>
  <c r="N1583" i="2"/>
  <c r="M1583" i="2"/>
  <c r="L1583" i="2"/>
  <c r="K1583" i="2"/>
  <c r="J1583" i="2"/>
  <c r="Q1582" i="2"/>
  <c r="P1582" i="2"/>
  <c r="O1582" i="2"/>
  <c r="N1582" i="2"/>
  <c r="M1582" i="2"/>
  <c r="L1582" i="2"/>
  <c r="K1582" i="2"/>
  <c r="J1582" i="2"/>
  <c r="Q1581" i="2"/>
  <c r="P1581" i="2"/>
  <c r="O1581" i="2"/>
  <c r="N1581" i="2"/>
  <c r="M1581" i="2"/>
  <c r="L1581" i="2"/>
  <c r="K1581" i="2"/>
  <c r="J1581" i="2"/>
  <c r="Q1580" i="2"/>
  <c r="P1580" i="2"/>
  <c r="O1580" i="2"/>
  <c r="N1580" i="2"/>
  <c r="M1580" i="2"/>
  <c r="L1580" i="2"/>
  <c r="K1580" i="2"/>
  <c r="J1580" i="2"/>
  <c r="Q1579" i="2"/>
  <c r="P1579" i="2"/>
  <c r="O1579" i="2"/>
  <c r="N1579" i="2"/>
  <c r="M1579" i="2"/>
  <c r="L1579" i="2"/>
  <c r="K1579" i="2"/>
  <c r="J1579" i="2"/>
  <c r="Q1573" i="2"/>
  <c r="P1573" i="2"/>
  <c r="O1573" i="2"/>
  <c r="N1573" i="2"/>
  <c r="M1573" i="2"/>
  <c r="L1573" i="2"/>
  <c r="K1573" i="2"/>
  <c r="J1573" i="2"/>
  <c r="Q1572" i="2"/>
  <c r="P1572" i="2"/>
  <c r="O1572" i="2"/>
  <c r="N1572" i="2"/>
  <c r="M1572" i="2"/>
  <c r="L1572" i="2"/>
  <c r="K1572" i="2"/>
  <c r="J1572" i="2"/>
  <c r="Q1571" i="2"/>
  <c r="P1571" i="2"/>
  <c r="O1571" i="2"/>
  <c r="N1571" i="2"/>
  <c r="M1571" i="2"/>
  <c r="L1571" i="2"/>
  <c r="K1571" i="2"/>
  <c r="J1571" i="2"/>
  <c r="Q1569" i="2"/>
  <c r="P1569" i="2"/>
  <c r="O1569" i="2"/>
  <c r="N1569" i="2"/>
  <c r="M1569" i="2"/>
  <c r="L1569" i="2"/>
  <c r="K1569" i="2"/>
  <c r="J1569" i="2"/>
  <c r="Q1568" i="2"/>
  <c r="P1568" i="2"/>
  <c r="O1568" i="2"/>
  <c r="N1568" i="2"/>
  <c r="M1568" i="2"/>
  <c r="L1568" i="2"/>
  <c r="K1568" i="2"/>
  <c r="J1568" i="2"/>
  <c r="Q1567" i="2"/>
  <c r="P1567" i="2"/>
  <c r="O1567" i="2"/>
  <c r="N1567" i="2"/>
  <c r="M1567" i="2"/>
  <c r="L1567" i="2"/>
  <c r="K1567" i="2"/>
  <c r="J1567" i="2"/>
  <c r="Q1565" i="2"/>
  <c r="P1565" i="2"/>
  <c r="O1565" i="2"/>
  <c r="N1565" i="2"/>
  <c r="M1565" i="2"/>
  <c r="L1565" i="2"/>
  <c r="K1565" i="2"/>
  <c r="J1565" i="2"/>
  <c r="Q1564" i="2"/>
  <c r="P1564" i="2"/>
  <c r="O1564" i="2"/>
  <c r="N1564" i="2"/>
  <c r="M1564" i="2"/>
  <c r="L1564" i="2"/>
  <c r="K1564" i="2"/>
  <c r="J1564" i="2"/>
  <c r="Q1563" i="2"/>
  <c r="P1563" i="2"/>
  <c r="O1563" i="2"/>
  <c r="N1563" i="2"/>
  <c r="M1563" i="2"/>
  <c r="L1563" i="2"/>
  <c r="K1563" i="2"/>
  <c r="J1563" i="2"/>
  <c r="Q1561" i="2"/>
  <c r="P1561" i="2"/>
  <c r="O1561" i="2"/>
  <c r="N1561" i="2"/>
  <c r="M1561" i="2"/>
  <c r="L1561" i="2"/>
  <c r="K1561" i="2"/>
  <c r="J1561" i="2"/>
  <c r="Q1560" i="2"/>
  <c r="P1560" i="2"/>
  <c r="O1560" i="2"/>
  <c r="N1560" i="2"/>
  <c r="M1560" i="2"/>
  <c r="L1560" i="2"/>
  <c r="K1560" i="2"/>
  <c r="J1560" i="2"/>
  <c r="Q1559" i="2"/>
  <c r="P1559" i="2"/>
  <c r="O1559" i="2"/>
  <c r="N1559" i="2"/>
  <c r="M1559" i="2"/>
  <c r="L1559" i="2"/>
  <c r="K1559" i="2"/>
  <c r="J1559" i="2"/>
  <c r="Q1557" i="2"/>
  <c r="P1557" i="2"/>
  <c r="O1557" i="2"/>
  <c r="N1557" i="2"/>
  <c r="M1557" i="2"/>
  <c r="L1557" i="2"/>
  <c r="K1557" i="2"/>
  <c r="J1557" i="2"/>
  <c r="Q1556" i="2"/>
  <c r="P1556" i="2"/>
  <c r="O1556" i="2"/>
  <c r="N1556" i="2"/>
  <c r="M1556" i="2"/>
  <c r="L1556" i="2"/>
  <c r="K1556" i="2"/>
  <c r="J1556" i="2"/>
  <c r="Q1555" i="2"/>
  <c r="P1555" i="2"/>
  <c r="O1555" i="2"/>
  <c r="N1555" i="2"/>
  <c r="M1555" i="2"/>
  <c r="L1555" i="2"/>
  <c r="K1555" i="2"/>
  <c r="J1555" i="2"/>
  <c r="Q1553" i="2"/>
  <c r="P1553" i="2"/>
  <c r="O1553" i="2"/>
  <c r="N1553" i="2"/>
  <c r="M1553" i="2"/>
  <c r="L1553" i="2"/>
  <c r="K1553" i="2"/>
  <c r="J1553" i="2"/>
  <c r="Q1552" i="2"/>
  <c r="P1552" i="2"/>
  <c r="O1552" i="2"/>
  <c r="N1552" i="2"/>
  <c r="M1552" i="2"/>
  <c r="L1552" i="2"/>
  <c r="K1552" i="2"/>
  <c r="J1552" i="2"/>
  <c r="Q1551" i="2"/>
  <c r="P1551" i="2"/>
  <c r="O1551" i="2"/>
  <c r="N1551" i="2"/>
  <c r="M1551" i="2"/>
  <c r="L1551" i="2"/>
  <c r="K1551" i="2"/>
  <c r="J1551" i="2"/>
  <c r="Q1545" i="2"/>
  <c r="P1545" i="2"/>
  <c r="O1545" i="2"/>
  <c r="N1545" i="2"/>
  <c r="M1545" i="2"/>
  <c r="L1545" i="2"/>
  <c r="K1545" i="2"/>
  <c r="J1545" i="2"/>
  <c r="Q1544" i="2"/>
  <c r="P1544" i="2"/>
  <c r="O1544" i="2"/>
  <c r="N1544" i="2"/>
  <c r="M1544" i="2"/>
  <c r="L1544" i="2"/>
  <c r="K1544" i="2"/>
  <c r="J1544" i="2"/>
  <c r="Q1543" i="2"/>
  <c r="P1543" i="2"/>
  <c r="O1543" i="2"/>
  <c r="N1543" i="2"/>
  <c r="M1543" i="2"/>
  <c r="L1543" i="2"/>
  <c r="K1543" i="2"/>
  <c r="J1543" i="2"/>
  <c r="Q1542" i="2"/>
  <c r="P1542" i="2"/>
  <c r="O1542" i="2"/>
  <c r="N1542" i="2"/>
  <c r="M1542" i="2"/>
  <c r="L1542" i="2"/>
  <c r="K1542" i="2"/>
  <c r="J1542" i="2"/>
  <c r="Q1541" i="2"/>
  <c r="P1541" i="2"/>
  <c r="O1541" i="2"/>
  <c r="N1541" i="2"/>
  <c r="M1541" i="2"/>
  <c r="L1541" i="2"/>
  <c r="K1541" i="2"/>
  <c r="J1541" i="2"/>
  <c r="Q1539" i="2"/>
  <c r="P1539" i="2"/>
  <c r="O1539" i="2"/>
  <c r="N1539" i="2"/>
  <c r="M1539" i="2"/>
  <c r="L1539" i="2"/>
  <c r="K1539" i="2"/>
  <c r="J1539" i="2"/>
  <c r="Q1538" i="2"/>
  <c r="P1538" i="2"/>
  <c r="O1538" i="2"/>
  <c r="N1538" i="2"/>
  <c r="M1538" i="2"/>
  <c r="L1538" i="2"/>
  <c r="K1538" i="2"/>
  <c r="J1538" i="2"/>
  <c r="Q1537" i="2"/>
  <c r="P1537" i="2"/>
  <c r="O1537" i="2"/>
  <c r="N1537" i="2"/>
  <c r="M1537" i="2"/>
  <c r="L1537" i="2"/>
  <c r="K1537" i="2"/>
  <c r="J1537" i="2"/>
  <c r="Q1536" i="2"/>
  <c r="P1536" i="2"/>
  <c r="O1536" i="2"/>
  <c r="N1536" i="2"/>
  <c r="M1536" i="2"/>
  <c r="L1536" i="2"/>
  <c r="K1536" i="2"/>
  <c r="J1536" i="2"/>
  <c r="Q1535" i="2"/>
  <c r="P1535" i="2"/>
  <c r="O1535" i="2"/>
  <c r="N1535" i="2"/>
  <c r="M1535" i="2"/>
  <c r="L1535" i="2"/>
  <c r="K1535" i="2"/>
  <c r="J1535" i="2"/>
  <c r="Q1529" i="2"/>
  <c r="P1529" i="2"/>
  <c r="O1529" i="2"/>
  <c r="N1529" i="2"/>
  <c r="M1529" i="2"/>
  <c r="L1529" i="2"/>
  <c r="K1529" i="2"/>
  <c r="J1529" i="2"/>
  <c r="Q1528" i="2"/>
  <c r="P1528" i="2"/>
  <c r="O1528" i="2"/>
  <c r="N1528" i="2"/>
  <c r="M1528" i="2"/>
  <c r="L1528" i="2"/>
  <c r="K1528" i="2"/>
  <c r="J1528" i="2"/>
  <c r="Q1527" i="2"/>
  <c r="P1527" i="2"/>
  <c r="O1527" i="2"/>
  <c r="N1527" i="2"/>
  <c r="M1527" i="2"/>
  <c r="L1527" i="2"/>
  <c r="K1527" i="2"/>
  <c r="J1527" i="2"/>
  <c r="Q1526" i="2"/>
  <c r="P1526" i="2"/>
  <c r="O1526" i="2"/>
  <c r="N1526" i="2"/>
  <c r="M1526" i="2"/>
  <c r="L1526" i="2"/>
  <c r="K1526" i="2"/>
  <c r="J1526" i="2"/>
  <c r="Q1525" i="2"/>
  <c r="P1525" i="2"/>
  <c r="O1525" i="2"/>
  <c r="N1525" i="2"/>
  <c r="M1525" i="2"/>
  <c r="L1525" i="2"/>
  <c r="K1525" i="2"/>
  <c r="J1525" i="2"/>
  <c r="Q1519" i="2"/>
  <c r="P1519" i="2"/>
  <c r="O1519" i="2"/>
  <c r="N1519" i="2"/>
  <c r="M1519" i="2"/>
  <c r="L1519" i="2"/>
  <c r="K1519" i="2"/>
  <c r="J1519" i="2"/>
  <c r="Q1518" i="2"/>
  <c r="P1518" i="2"/>
  <c r="O1518" i="2"/>
  <c r="N1518" i="2"/>
  <c r="M1518" i="2"/>
  <c r="L1518" i="2"/>
  <c r="K1518" i="2"/>
  <c r="J1518" i="2"/>
  <c r="Q1517" i="2"/>
  <c r="P1517" i="2"/>
  <c r="O1517" i="2"/>
  <c r="N1517" i="2"/>
  <c r="M1517" i="2"/>
  <c r="L1517" i="2"/>
  <c r="K1517" i="2"/>
  <c r="J1517" i="2"/>
  <c r="Q1516" i="2"/>
  <c r="P1516" i="2"/>
  <c r="O1516" i="2"/>
  <c r="N1516" i="2"/>
  <c r="M1516" i="2"/>
  <c r="L1516" i="2"/>
  <c r="K1516" i="2"/>
  <c r="J1516" i="2"/>
  <c r="Q1515" i="2"/>
  <c r="P1515" i="2"/>
  <c r="O1515" i="2"/>
  <c r="N1515" i="2"/>
  <c r="M1515" i="2"/>
  <c r="L1515" i="2"/>
  <c r="K1515" i="2"/>
  <c r="J1515" i="2"/>
  <c r="Q1514" i="2"/>
  <c r="P1514" i="2"/>
  <c r="O1514" i="2"/>
  <c r="N1514" i="2"/>
  <c r="M1514" i="2"/>
  <c r="L1514" i="2"/>
  <c r="K1514" i="2"/>
  <c r="J1514" i="2"/>
  <c r="Q1507" i="2"/>
  <c r="P1507" i="2"/>
  <c r="O1507" i="2"/>
  <c r="N1507" i="2"/>
  <c r="M1507" i="2"/>
  <c r="L1507" i="2"/>
  <c r="K1507" i="2"/>
  <c r="J1507" i="2"/>
  <c r="Q1505" i="2"/>
  <c r="P1505" i="2"/>
  <c r="O1505" i="2"/>
  <c r="N1505" i="2"/>
  <c r="M1505" i="2"/>
  <c r="L1505" i="2"/>
  <c r="K1505" i="2"/>
  <c r="J1505" i="2"/>
  <c r="Q1503" i="2"/>
  <c r="P1503" i="2"/>
  <c r="O1503" i="2"/>
  <c r="N1503" i="2"/>
  <c r="M1503" i="2"/>
  <c r="L1503" i="2"/>
  <c r="K1503" i="2"/>
  <c r="J1503" i="2"/>
  <c r="Q1501" i="2"/>
  <c r="P1501" i="2"/>
  <c r="O1501" i="2"/>
  <c r="N1501" i="2"/>
  <c r="M1501" i="2"/>
  <c r="L1501" i="2"/>
  <c r="K1501" i="2"/>
  <c r="J1501" i="2"/>
  <c r="Q1493" i="2"/>
  <c r="P1493" i="2"/>
  <c r="O1493" i="2"/>
  <c r="N1493" i="2"/>
  <c r="M1493" i="2"/>
  <c r="L1493" i="2"/>
  <c r="K1493" i="2"/>
  <c r="J1493" i="2"/>
  <c r="Q1486" i="2"/>
  <c r="P1486" i="2"/>
  <c r="O1486" i="2"/>
  <c r="N1486" i="2"/>
  <c r="M1486" i="2"/>
  <c r="L1486" i="2"/>
  <c r="K1486" i="2"/>
  <c r="J1486" i="2"/>
  <c r="Q1485" i="2"/>
  <c r="P1485" i="2"/>
  <c r="O1485" i="2"/>
  <c r="N1485" i="2"/>
  <c r="M1485" i="2"/>
  <c r="L1485" i="2"/>
  <c r="K1485" i="2"/>
  <c r="J1485" i="2"/>
  <c r="Q1484" i="2"/>
  <c r="P1484" i="2"/>
  <c r="O1484" i="2"/>
  <c r="N1484" i="2"/>
  <c r="M1484" i="2"/>
  <c r="L1484" i="2"/>
  <c r="K1484" i="2"/>
  <c r="J1484" i="2"/>
  <c r="Q1483" i="2"/>
  <c r="P1483" i="2"/>
  <c r="O1483" i="2"/>
  <c r="N1483" i="2"/>
  <c r="M1483" i="2"/>
  <c r="L1483" i="2"/>
  <c r="K1483" i="2"/>
  <c r="J1483" i="2"/>
  <c r="Q1482" i="2"/>
  <c r="P1482" i="2"/>
  <c r="O1482" i="2"/>
  <c r="N1482" i="2"/>
  <c r="M1482" i="2"/>
  <c r="L1482" i="2"/>
  <c r="K1482" i="2"/>
  <c r="J1482" i="2"/>
  <c r="Q1476" i="2"/>
  <c r="P1476" i="2"/>
  <c r="O1476" i="2"/>
  <c r="N1476" i="2"/>
  <c r="M1476" i="2"/>
  <c r="L1476" i="2"/>
  <c r="K1476" i="2"/>
  <c r="J1476" i="2"/>
  <c r="Q1475" i="2"/>
  <c r="P1475" i="2"/>
  <c r="O1475" i="2"/>
  <c r="N1475" i="2"/>
  <c r="M1475" i="2"/>
  <c r="L1475" i="2"/>
  <c r="K1475" i="2"/>
  <c r="J1475" i="2"/>
  <c r="Q1474" i="2"/>
  <c r="P1474" i="2"/>
  <c r="O1474" i="2"/>
  <c r="N1474" i="2"/>
  <c r="M1474" i="2"/>
  <c r="L1474" i="2"/>
  <c r="K1474" i="2"/>
  <c r="J1474" i="2"/>
  <c r="Q1473" i="2"/>
  <c r="P1473" i="2"/>
  <c r="O1473" i="2"/>
  <c r="N1473" i="2"/>
  <c r="M1473" i="2"/>
  <c r="L1473" i="2"/>
  <c r="K1473" i="2"/>
  <c r="J1473" i="2"/>
  <c r="Q1467" i="2"/>
  <c r="P1467" i="2"/>
  <c r="O1467" i="2"/>
  <c r="N1467" i="2"/>
  <c r="M1467" i="2"/>
  <c r="L1467" i="2"/>
  <c r="K1467" i="2"/>
  <c r="J1467" i="2"/>
  <c r="Q1466" i="2"/>
  <c r="P1466" i="2"/>
  <c r="O1466" i="2"/>
  <c r="N1466" i="2"/>
  <c r="M1466" i="2"/>
  <c r="L1466" i="2"/>
  <c r="K1466" i="2"/>
  <c r="J1466" i="2"/>
  <c r="Q1465" i="2"/>
  <c r="P1465" i="2"/>
  <c r="O1465" i="2"/>
  <c r="N1465" i="2"/>
  <c r="M1465" i="2"/>
  <c r="L1465" i="2"/>
  <c r="K1465" i="2"/>
  <c r="J1465" i="2"/>
  <c r="Q1464" i="2"/>
  <c r="P1464" i="2"/>
  <c r="O1464" i="2"/>
  <c r="N1464" i="2"/>
  <c r="M1464" i="2"/>
  <c r="L1464" i="2"/>
  <c r="K1464" i="2"/>
  <c r="J1464" i="2"/>
  <c r="Q1463" i="2"/>
  <c r="P1463" i="2"/>
  <c r="O1463" i="2"/>
  <c r="N1463" i="2"/>
  <c r="M1463" i="2"/>
  <c r="L1463" i="2"/>
  <c r="K1463" i="2"/>
  <c r="J1463" i="2"/>
  <c r="Q1462" i="2"/>
  <c r="P1462" i="2"/>
  <c r="O1462" i="2"/>
  <c r="N1462" i="2"/>
  <c r="M1462" i="2"/>
  <c r="L1462" i="2"/>
  <c r="K1462" i="2"/>
  <c r="J1462" i="2"/>
  <c r="Q1461" i="2"/>
  <c r="P1461" i="2"/>
  <c r="O1461" i="2"/>
  <c r="N1461" i="2"/>
  <c r="M1461" i="2"/>
  <c r="L1461" i="2"/>
  <c r="K1461" i="2"/>
  <c r="J1461" i="2"/>
  <c r="Q1460" i="2"/>
  <c r="P1460" i="2"/>
  <c r="O1460" i="2"/>
  <c r="N1460" i="2"/>
  <c r="M1460" i="2"/>
  <c r="L1460" i="2"/>
  <c r="K1460" i="2"/>
  <c r="J1460" i="2"/>
  <c r="Q1459" i="2"/>
  <c r="P1459" i="2"/>
  <c r="O1459" i="2"/>
  <c r="N1459" i="2"/>
  <c r="M1459" i="2"/>
  <c r="L1459" i="2"/>
  <c r="K1459" i="2"/>
  <c r="J1459" i="2"/>
  <c r="Q1453" i="2"/>
  <c r="P1453" i="2"/>
  <c r="O1453" i="2"/>
  <c r="N1453" i="2"/>
  <c r="M1453" i="2"/>
  <c r="L1453" i="2"/>
  <c r="K1453" i="2"/>
  <c r="J1453" i="2"/>
  <c r="Q1452" i="2"/>
  <c r="P1452" i="2"/>
  <c r="O1452" i="2"/>
  <c r="N1452" i="2"/>
  <c r="M1452" i="2"/>
  <c r="L1452" i="2"/>
  <c r="K1452" i="2"/>
  <c r="J1452" i="2"/>
  <c r="Q1451" i="2"/>
  <c r="P1451" i="2"/>
  <c r="O1451" i="2"/>
  <c r="N1451" i="2"/>
  <c r="M1451" i="2"/>
  <c r="L1451" i="2"/>
  <c r="K1451" i="2"/>
  <c r="J1451" i="2"/>
  <c r="Q1450" i="2"/>
  <c r="P1450" i="2"/>
  <c r="O1450" i="2"/>
  <c r="N1450" i="2"/>
  <c r="M1450" i="2"/>
  <c r="L1450" i="2"/>
  <c r="K1450" i="2"/>
  <c r="J1450" i="2"/>
  <c r="Q1449" i="2"/>
  <c r="P1449" i="2"/>
  <c r="O1449" i="2"/>
  <c r="N1449" i="2"/>
  <c r="M1449" i="2"/>
  <c r="L1449" i="2"/>
  <c r="K1449" i="2"/>
  <c r="J1449" i="2"/>
  <c r="Q1442" i="2"/>
  <c r="P1442" i="2"/>
  <c r="O1442" i="2"/>
  <c r="N1442" i="2"/>
  <c r="M1442" i="2"/>
  <c r="L1442" i="2"/>
  <c r="K1442" i="2"/>
  <c r="J1442" i="2"/>
  <c r="Q1441" i="2"/>
  <c r="P1441" i="2"/>
  <c r="O1441" i="2"/>
  <c r="N1441" i="2"/>
  <c r="M1441" i="2"/>
  <c r="L1441" i="2"/>
  <c r="K1441" i="2"/>
  <c r="J1441" i="2"/>
  <c r="Q1440" i="2"/>
  <c r="P1440" i="2"/>
  <c r="O1440" i="2"/>
  <c r="N1440" i="2"/>
  <c r="M1440" i="2"/>
  <c r="L1440" i="2"/>
  <c r="K1440" i="2"/>
  <c r="J1440" i="2"/>
  <c r="Q1439" i="2"/>
  <c r="P1439" i="2"/>
  <c r="O1439" i="2"/>
  <c r="N1439" i="2"/>
  <c r="M1439" i="2"/>
  <c r="L1439" i="2"/>
  <c r="K1439" i="2"/>
  <c r="J1439" i="2"/>
  <c r="Q1438" i="2"/>
  <c r="P1438" i="2"/>
  <c r="O1438" i="2"/>
  <c r="N1438" i="2"/>
  <c r="M1438" i="2"/>
  <c r="L1438" i="2"/>
  <c r="K1438" i="2"/>
  <c r="J1438" i="2"/>
  <c r="Q1432" i="2"/>
  <c r="P1432" i="2"/>
  <c r="O1432" i="2"/>
  <c r="N1432" i="2"/>
  <c r="M1432" i="2"/>
  <c r="L1432" i="2"/>
  <c r="K1432" i="2"/>
  <c r="J1432" i="2"/>
  <c r="Q1431" i="2"/>
  <c r="P1431" i="2"/>
  <c r="O1431" i="2"/>
  <c r="N1431" i="2"/>
  <c r="M1431" i="2"/>
  <c r="L1431" i="2"/>
  <c r="K1431" i="2"/>
  <c r="J1431" i="2"/>
  <c r="Q1430" i="2"/>
  <c r="P1430" i="2"/>
  <c r="O1430" i="2"/>
  <c r="N1430" i="2"/>
  <c r="M1430" i="2"/>
  <c r="L1430" i="2"/>
  <c r="K1430" i="2"/>
  <c r="J1430" i="2"/>
  <c r="Q1429" i="2"/>
  <c r="P1429" i="2"/>
  <c r="O1429" i="2"/>
  <c r="N1429" i="2"/>
  <c r="M1429" i="2"/>
  <c r="L1429" i="2"/>
  <c r="K1429" i="2"/>
  <c r="J1429" i="2"/>
  <c r="Q1428" i="2"/>
  <c r="P1428" i="2"/>
  <c r="O1428" i="2"/>
  <c r="N1428" i="2"/>
  <c r="M1428" i="2"/>
  <c r="L1428" i="2"/>
  <c r="K1428" i="2"/>
  <c r="J1428" i="2"/>
  <c r="Q1422" i="2"/>
  <c r="P1422" i="2"/>
  <c r="O1422" i="2"/>
  <c r="N1422" i="2"/>
  <c r="M1422" i="2"/>
  <c r="L1422" i="2"/>
  <c r="K1422" i="2"/>
  <c r="J1422" i="2"/>
  <c r="Q1421" i="2"/>
  <c r="P1421" i="2"/>
  <c r="O1421" i="2"/>
  <c r="N1421" i="2"/>
  <c r="M1421" i="2"/>
  <c r="L1421" i="2"/>
  <c r="K1421" i="2"/>
  <c r="J1421" i="2"/>
  <c r="Q1420" i="2"/>
  <c r="P1420" i="2"/>
  <c r="O1420" i="2"/>
  <c r="N1420" i="2"/>
  <c r="M1420" i="2"/>
  <c r="L1420" i="2"/>
  <c r="K1420" i="2"/>
  <c r="J1420" i="2"/>
  <c r="Q1419" i="2"/>
  <c r="P1419" i="2"/>
  <c r="O1419" i="2"/>
  <c r="N1419" i="2"/>
  <c r="M1419" i="2"/>
  <c r="L1419" i="2"/>
  <c r="K1419" i="2"/>
  <c r="J1419" i="2"/>
  <c r="Q1418" i="2"/>
  <c r="P1418" i="2"/>
  <c r="O1418" i="2"/>
  <c r="N1418" i="2"/>
  <c r="M1418" i="2"/>
  <c r="L1418" i="2"/>
  <c r="K1418" i="2"/>
  <c r="J1418" i="2"/>
  <c r="Q1411" i="2"/>
  <c r="P1411" i="2"/>
  <c r="O1411" i="2"/>
  <c r="N1411" i="2"/>
  <c r="M1411" i="2"/>
  <c r="L1411" i="2"/>
  <c r="K1411" i="2"/>
  <c r="J1411" i="2"/>
  <c r="Q1410" i="2"/>
  <c r="P1410" i="2"/>
  <c r="O1410" i="2"/>
  <c r="N1410" i="2"/>
  <c r="M1410" i="2"/>
  <c r="L1410" i="2"/>
  <c r="K1410" i="2"/>
  <c r="J1410" i="2"/>
  <c r="Q1409" i="2"/>
  <c r="P1409" i="2"/>
  <c r="O1409" i="2"/>
  <c r="N1409" i="2"/>
  <c r="M1409" i="2"/>
  <c r="L1409" i="2"/>
  <c r="K1409" i="2"/>
  <c r="J1409" i="2"/>
  <c r="Q1408" i="2"/>
  <c r="P1408" i="2"/>
  <c r="O1408" i="2"/>
  <c r="N1408" i="2"/>
  <c r="M1408" i="2"/>
  <c r="L1408" i="2"/>
  <c r="K1408" i="2"/>
  <c r="J1408" i="2"/>
  <c r="Q1407" i="2"/>
  <c r="P1407" i="2"/>
  <c r="O1407" i="2"/>
  <c r="N1407" i="2"/>
  <c r="M1407" i="2"/>
  <c r="L1407" i="2"/>
  <c r="K1407" i="2"/>
  <c r="J1407" i="2"/>
  <c r="Q1406" i="2"/>
  <c r="P1406" i="2"/>
  <c r="O1406" i="2"/>
  <c r="N1406" i="2"/>
  <c r="M1406" i="2"/>
  <c r="L1406" i="2"/>
  <c r="K1406" i="2"/>
  <c r="J1406" i="2"/>
  <c r="Q1400" i="2"/>
  <c r="P1400" i="2"/>
  <c r="O1400" i="2"/>
  <c r="N1400" i="2"/>
  <c r="M1400" i="2"/>
  <c r="L1400" i="2"/>
  <c r="K1400" i="2"/>
  <c r="J1400" i="2"/>
  <c r="Q1398" i="2"/>
  <c r="P1398" i="2"/>
  <c r="O1398" i="2"/>
  <c r="N1398" i="2"/>
  <c r="M1398" i="2"/>
  <c r="L1398" i="2"/>
  <c r="K1398" i="2"/>
  <c r="J1398" i="2"/>
  <c r="Q1397" i="2"/>
  <c r="P1397" i="2"/>
  <c r="O1397" i="2"/>
  <c r="N1397" i="2"/>
  <c r="M1397" i="2"/>
  <c r="L1397" i="2"/>
  <c r="K1397" i="2"/>
  <c r="J1397" i="2"/>
  <c r="Q1396" i="2"/>
  <c r="P1396" i="2"/>
  <c r="O1396" i="2"/>
  <c r="N1396" i="2"/>
  <c r="M1396" i="2"/>
  <c r="L1396" i="2"/>
  <c r="K1396" i="2"/>
  <c r="J1396" i="2"/>
  <c r="Q1395" i="2"/>
  <c r="P1395" i="2"/>
  <c r="O1395" i="2"/>
  <c r="N1395" i="2"/>
  <c r="M1395" i="2"/>
  <c r="L1395" i="2"/>
  <c r="K1395" i="2"/>
  <c r="J1395" i="2"/>
  <c r="Q1394" i="2"/>
  <c r="P1394" i="2"/>
  <c r="O1394" i="2"/>
  <c r="N1394" i="2"/>
  <c r="M1394" i="2"/>
  <c r="L1394" i="2"/>
  <c r="K1394" i="2"/>
  <c r="J1394" i="2"/>
  <c r="Q1393" i="2"/>
  <c r="P1393" i="2"/>
  <c r="O1393" i="2"/>
  <c r="N1393" i="2"/>
  <c r="M1393" i="2"/>
  <c r="L1393" i="2"/>
  <c r="K1393" i="2"/>
  <c r="J1393" i="2"/>
  <c r="Q1392" i="2"/>
  <c r="P1392" i="2"/>
  <c r="O1392" i="2"/>
  <c r="N1392" i="2"/>
  <c r="M1392" i="2"/>
  <c r="L1392" i="2"/>
  <c r="K1392" i="2"/>
  <c r="J1392" i="2"/>
  <c r="Q1391" i="2"/>
  <c r="P1391" i="2"/>
  <c r="O1391" i="2"/>
  <c r="N1391" i="2"/>
  <c r="M1391" i="2"/>
  <c r="L1391" i="2"/>
  <c r="K1391" i="2"/>
  <c r="J1391" i="2"/>
  <c r="Q1390" i="2"/>
  <c r="P1390" i="2"/>
  <c r="O1390" i="2"/>
  <c r="N1390" i="2"/>
  <c r="M1390" i="2"/>
  <c r="L1390" i="2"/>
  <c r="K1390" i="2"/>
  <c r="J1390" i="2"/>
  <c r="Q1384" i="2"/>
  <c r="P1384" i="2"/>
  <c r="O1384" i="2"/>
  <c r="N1384" i="2"/>
  <c r="M1384" i="2"/>
  <c r="L1384" i="2"/>
  <c r="K1384" i="2"/>
  <c r="J1384" i="2"/>
  <c r="Q1383" i="2"/>
  <c r="P1383" i="2"/>
  <c r="O1383" i="2"/>
  <c r="N1383" i="2"/>
  <c r="M1383" i="2"/>
  <c r="L1383" i="2"/>
  <c r="K1383" i="2"/>
  <c r="J1383" i="2"/>
  <c r="Q1382" i="2"/>
  <c r="P1382" i="2"/>
  <c r="O1382" i="2"/>
  <c r="N1382" i="2"/>
  <c r="M1382" i="2"/>
  <c r="L1382" i="2"/>
  <c r="K1382" i="2"/>
  <c r="J1382" i="2"/>
  <c r="Q1381" i="2"/>
  <c r="P1381" i="2"/>
  <c r="O1381" i="2"/>
  <c r="N1381" i="2"/>
  <c r="M1381" i="2"/>
  <c r="L1381" i="2"/>
  <c r="K1381" i="2"/>
  <c r="J1381" i="2"/>
  <c r="Q1380" i="2"/>
  <c r="P1380" i="2"/>
  <c r="O1380" i="2"/>
  <c r="N1380" i="2"/>
  <c r="M1380" i="2"/>
  <c r="L1380" i="2"/>
  <c r="K1380" i="2"/>
  <c r="J1380" i="2"/>
  <c r="Q1378" i="2"/>
  <c r="P1378" i="2"/>
  <c r="O1378" i="2"/>
  <c r="N1378" i="2"/>
  <c r="M1378" i="2"/>
  <c r="L1378" i="2"/>
  <c r="K1378" i="2"/>
  <c r="J1378" i="2"/>
  <c r="Q1377" i="2"/>
  <c r="P1377" i="2"/>
  <c r="O1377" i="2"/>
  <c r="N1377" i="2"/>
  <c r="M1377" i="2"/>
  <c r="L1377" i="2"/>
  <c r="K1377" i="2"/>
  <c r="J1377" i="2"/>
  <c r="Q1376" i="2"/>
  <c r="P1376" i="2"/>
  <c r="O1376" i="2"/>
  <c r="N1376" i="2"/>
  <c r="M1376" i="2"/>
  <c r="L1376" i="2"/>
  <c r="K1376" i="2"/>
  <c r="J1376" i="2"/>
  <c r="Q1375" i="2"/>
  <c r="P1375" i="2"/>
  <c r="O1375" i="2"/>
  <c r="N1375" i="2"/>
  <c r="M1375" i="2"/>
  <c r="L1375" i="2"/>
  <c r="K1375" i="2"/>
  <c r="J1375" i="2"/>
  <c r="Q1374" i="2"/>
  <c r="P1374" i="2"/>
  <c r="O1374" i="2"/>
  <c r="N1374" i="2"/>
  <c r="M1374" i="2"/>
  <c r="L1374" i="2"/>
  <c r="K1374" i="2"/>
  <c r="J1374" i="2"/>
  <c r="Q1367" i="2"/>
  <c r="P1367" i="2"/>
  <c r="O1367" i="2"/>
  <c r="N1367" i="2"/>
  <c r="M1367" i="2"/>
  <c r="L1367" i="2"/>
  <c r="K1367" i="2"/>
  <c r="J1367" i="2"/>
  <c r="Q1364" i="2"/>
  <c r="P1364" i="2"/>
  <c r="O1364" i="2"/>
  <c r="N1364" i="2"/>
  <c r="M1364" i="2"/>
  <c r="L1364" i="2"/>
  <c r="K1364" i="2"/>
  <c r="J1364" i="2"/>
  <c r="Q1357" i="2"/>
  <c r="P1357" i="2"/>
  <c r="O1357" i="2"/>
  <c r="N1357" i="2"/>
  <c r="M1357" i="2"/>
  <c r="L1357" i="2"/>
  <c r="K1357" i="2"/>
  <c r="J1357" i="2"/>
  <c r="Q1356" i="2"/>
  <c r="P1356" i="2"/>
  <c r="O1356" i="2"/>
  <c r="N1356" i="2"/>
  <c r="M1356" i="2"/>
  <c r="L1356" i="2"/>
  <c r="K1356" i="2"/>
  <c r="J1356" i="2"/>
  <c r="Q1355" i="2"/>
  <c r="P1355" i="2"/>
  <c r="O1355" i="2"/>
  <c r="N1355" i="2"/>
  <c r="M1355" i="2"/>
  <c r="L1355" i="2"/>
  <c r="K1355" i="2"/>
  <c r="J1355" i="2"/>
  <c r="Q1354" i="2"/>
  <c r="P1354" i="2"/>
  <c r="O1354" i="2"/>
  <c r="N1354" i="2"/>
  <c r="M1354" i="2"/>
  <c r="L1354" i="2"/>
  <c r="K1354" i="2"/>
  <c r="J1354" i="2"/>
  <c r="Q1352" i="2"/>
  <c r="P1352" i="2"/>
  <c r="O1352" i="2"/>
  <c r="N1352" i="2"/>
  <c r="M1352" i="2"/>
  <c r="L1352" i="2"/>
  <c r="K1352" i="2"/>
  <c r="J1352" i="2"/>
  <c r="Q1351" i="2"/>
  <c r="P1351" i="2"/>
  <c r="O1351" i="2"/>
  <c r="N1351" i="2"/>
  <c r="M1351" i="2"/>
  <c r="L1351" i="2"/>
  <c r="K1351" i="2"/>
  <c r="J1351" i="2"/>
  <c r="Q1350" i="2"/>
  <c r="P1350" i="2"/>
  <c r="O1350" i="2"/>
  <c r="N1350" i="2"/>
  <c r="M1350" i="2"/>
  <c r="L1350" i="2"/>
  <c r="K1350" i="2"/>
  <c r="J1350" i="2"/>
  <c r="Q1349" i="2"/>
  <c r="P1349" i="2"/>
  <c r="O1349" i="2"/>
  <c r="N1349" i="2"/>
  <c r="M1349" i="2"/>
  <c r="L1349" i="2"/>
  <c r="K1349" i="2"/>
  <c r="J1349" i="2"/>
  <c r="Q1347" i="2"/>
  <c r="P1347" i="2"/>
  <c r="O1347" i="2"/>
  <c r="N1347" i="2"/>
  <c r="M1347" i="2"/>
  <c r="L1347" i="2"/>
  <c r="K1347" i="2"/>
  <c r="J1347" i="2"/>
  <c r="Q1346" i="2"/>
  <c r="P1346" i="2"/>
  <c r="O1346" i="2"/>
  <c r="N1346" i="2"/>
  <c r="M1346" i="2"/>
  <c r="L1346" i="2"/>
  <c r="K1346" i="2"/>
  <c r="J1346" i="2"/>
  <c r="Q1345" i="2"/>
  <c r="P1345" i="2"/>
  <c r="O1345" i="2"/>
  <c r="N1345" i="2"/>
  <c r="M1345" i="2"/>
  <c r="L1345" i="2"/>
  <c r="K1345" i="2"/>
  <c r="J1345" i="2"/>
  <c r="Q1344" i="2"/>
  <c r="P1344" i="2"/>
  <c r="O1344" i="2"/>
  <c r="N1344" i="2"/>
  <c r="M1344" i="2"/>
  <c r="L1344" i="2"/>
  <c r="K1344" i="2"/>
  <c r="J1344" i="2"/>
  <c r="Q1337" i="2"/>
  <c r="P1337" i="2"/>
  <c r="O1337" i="2"/>
  <c r="N1337" i="2"/>
  <c r="M1337" i="2"/>
  <c r="L1337" i="2"/>
  <c r="K1337" i="2"/>
  <c r="J1337" i="2"/>
  <c r="Q1336" i="2"/>
  <c r="P1336" i="2"/>
  <c r="O1336" i="2"/>
  <c r="N1336" i="2"/>
  <c r="M1336" i="2"/>
  <c r="L1336" i="2"/>
  <c r="K1336" i="2"/>
  <c r="J1336" i="2"/>
  <c r="Q1335" i="2"/>
  <c r="P1335" i="2"/>
  <c r="O1335" i="2"/>
  <c r="N1335" i="2"/>
  <c r="M1335" i="2"/>
  <c r="L1335" i="2"/>
  <c r="K1335" i="2"/>
  <c r="J1335" i="2"/>
  <c r="Q1334" i="2"/>
  <c r="P1334" i="2"/>
  <c r="O1334" i="2"/>
  <c r="N1334" i="2"/>
  <c r="M1334" i="2"/>
  <c r="L1334" i="2"/>
  <c r="K1334" i="2"/>
  <c r="J1334" i="2"/>
  <c r="Q1333" i="2"/>
  <c r="P1333" i="2"/>
  <c r="O1333" i="2"/>
  <c r="N1333" i="2"/>
  <c r="M1333" i="2"/>
  <c r="L1333" i="2"/>
  <c r="K1333" i="2"/>
  <c r="J1333" i="2"/>
  <c r="Q1332" i="2"/>
  <c r="P1332" i="2"/>
  <c r="O1332" i="2"/>
  <c r="N1332" i="2"/>
  <c r="M1332" i="2"/>
  <c r="L1332" i="2"/>
  <c r="K1332" i="2"/>
  <c r="J1332" i="2"/>
  <c r="Q1325" i="2"/>
  <c r="P1325" i="2"/>
  <c r="O1325" i="2"/>
  <c r="N1325" i="2"/>
  <c r="M1325" i="2"/>
  <c r="L1325" i="2"/>
  <c r="K1325" i="2"/>
  <c r="J1325" i="2"/>
  <c r="Q1324" i="2"/>
  <c r="P1324" i="2"/>
  <c r="O1324" i="2"/>
  <c r="N1324" i="2"/>
  <c r="M1324" i="2"/>
  <c r="L1324" i="2"/>
  <c r="K1324" i="2"/>
  <c r="J1324" i="2"/>
  <c r="Q1323" i="2"/>
  <c r="P1323" i="2"/>
  <c r="O1323" i="2"/>
  <c r="N1323" i="2"/>
  <c r="M1323" i="2"/>
  <c r="L1323" i="2"/>
  <c r="K1323" i="2"/>
  <c r="J1323" i="2"/>
  <c r="Q1322" i="2"/>
  <c r="P1322" i="2"/>
  <c r="O1322" i="2"/>
  <c r="N1322" i="2"/>
  <c r="M1322" i="2"/>
  <c r="L1322" i="2"/>
  <c r="K1322" i="2"/>
  <c r="J1322" i="2"/>
  <c r="Q1321" i="2"/>
  <c r="P1321" i="2"/>
  <c r="O1321" i="2"/>
  <c r="N1321" i="2"/>
  <c r="M1321" i="2"/>
  <c r="L1321" i="2"/>
  <c r="K1321" i="2"/>
  <c r="J1321" i="2"/>
  <c r="Q1320" i="2"/>
  <c r="P1320" i="2"/>
  <c r="O1320" i="2"/>
  <c r="N1320" i="2"/>
  <c r="M1320" i="2"/>
  <c r="L1320" i="2"/>
  <c r="K1320" i="2"/>
  <c r="J1320" i="2"/>
  <c r="Q1312" i="2"/>
  <c r="P1312" i="2"/>
  <c r="O1312" i="2"/>
  <c r="N1312" i="2"/>
  <c r="M1312" i="2"/>
  <c r="L1312" i="2"/>
  <c r="K1312" i="2"/>
  <c r="J1312" i="2"/>
  <c r="Q1311" i="2"/>
  <c r="P1311" i="2"/>
  <c r="O1311" i="2"/>
  <c r="N1311" i="2"/>
  <c r="M1311" i="2"/>
  <c r="L1311" i="2"/>
  <c r="K1311" i="2"/>
  <c r="J1311" i="2"/>
  <c r="Q1310" i="2"/>
  <c r="P1310" i="2"/>
  <c r="O1310" i="2"/>
  <c r="N1310" i="2"/>
  <c r="M1310" i="2"/>
  <c r="L1310" i="2"/>
  <c r="K1310" i="2"/>
  <c r="J1310" i="2"/>
  <c r="Q1309" i="2"/>
  <c r="P1309" i="2"/>
  <c r="O1309" i="2"/>
  <c r="N1309" i="2"/>
  <c r="M1309" i="2"/>
  <c r="L1309" i="2"/>
  <c r="K1309" i="2"/>
  <c r="J1309" i="2"/>
  <c r="Q1308" i="2"/>
  <c r="P1308" i="2"/>
  <c r="O1308" i="2"/>
  <c r="N1308" i="2"/>
  <c r="M1308" i="2"/>
  <c r="L1308" i="2"/>
  <c r="K1308" i="2"/>
  <c r="J1308" i="2"/>
  <c r="Q1302" i="2"/>
  <c r="P1302" i="2"/>
  <c r="O1302" i="2"/>
  <c r="N1302" i="2"/>
  <c r="M1302" i="2"/>
  <c r="L1302" i="2"/>
  <c r="K1302" i="2"/>
  <c r="J1302" i="2"/>
  <c r="Q1300" i="2"/>
  <c r="P1300" i="2"/>
  <c r="O1300" i="2"/>
  <c r="N1300" i="2"/>
  <c r="M1300" i="2"/>
  <c r="L1300" i="2"/>
  <c r="K1300" i="2"/>
  <c r="J1300" i="2"/>
  <c r="Q1299" i="2"/>
  <c r="P1299" i="2"/>
  <c r="O1299" i="2"/>
  <c r="N1299" i="2"/>
  <c r="M1299" i="2"/>
  <c r="L1299" i="2"/>
  <c r="K1299" i="2"/>
  <c r="J1299" i="2"/>
  <c r="Q1298" i="2"/>
  <c r="P1298" i="2"/>
  <c r="O1298" i="2"/>
  <c r="N1298" i="2"/>
  <c r="M1298" i="2"/>
  <c r="L1298" i="2"/>
  <c r="K1298" i="2"/>
  <c r="J1298" i="2"/>
  <c r="Q1296" i="2"/>
  <c r="P1296" i="2"/>
  <c r="O1296" i="2"/>
  <c r="N1296" i="2"/>
  <c r="M1296" i="2"/>
  <c r="L1296" i="2"/>
  <c r="K1296" i="2"/>
  <c r="J1296" i="2"/>
  <c r="Q1295" i="2"/>
  <c r="P1295" i="2"/>
  <c r="O1295" i="2"/>
  <c r="N1295" i="2"/>
  <c r="M1295" i="2"/>
  <c r="L1295" i="2"/>
  <c r="K1295" i="2"/>
  <c r="J1295" i="2"/>
  <c r="Q1294" i="2"/>
  <c r="P1294" i="2"/>
  <c r="O1294" i="2"/>
  <c r="N1294" i="2"/>
  <c r="M1294" i="2"/>
  <c r="L1294" i="2"/>
  <c r="K1294" i="2"/>
  <c r="J1294" i="2"/>
  <c r="Q1293" i="2"/>
  <c r="P1293" i="2"/>
  <c r="O1293" i="2"/>
  <c r="N1293" i="2"/>
  <c r="M1293" i="2"/>
  <c r="L1293" i="2"/>
  <c r="K1293" i="2"/>
  <c r="J1293" i="2"/>
  <c r="Q1292" i="2"/>
  <c r="P1292" i="2"/>
  <c r="O1292" i="2"/>
  <c r="N1292" i="2"/>
  <c r="M1292" i="2"/>
  <c r="L1292" i="2"/>
  <c r="K1292" i="2"/>
  <c r="J1292" i="2"/>
  <c r="Q1291" i="2"/>
  <c r="P1291" i="2"/>
  <c r="O1291" i="2"/>
  <c r="N1291" i="2"/>
  <c r="M1291" i="2"/>
  <c r="L1291" i="2"/>
  <c r="K1291" i="2"/>
  <c r="J1291" i="2"/>
  <c r="Q1283" i="2"/>
  <c r="P1283" i="2"/>
  <c r="O1283" i="2"/>
  <c r="N1283" i="2"/>
  <c r="M1283" i="2"/>
  <c r="L1283" i="2"/>
  <c r="K1283" i="2"/>
  <c r="J1283" i="2"/>
  <c r="Q1275" i="2"/>
  <c r="P1275" i="2"/>
  <c r="O1275" i="2"/>
  <c r="N1275" i="2"/>
  <c r="M1275" i="2"/>
  <c r="L1275" i="2"/>
  <c r="K1275" i="2"/>
  <c r="J1275" i="2"/>
  <c r="Q1274" i="2"/>
  <c r="P1274" i="2"/>
  <c r="O1274" i="2"/>
  <c r="N1274" i="2"/>
  <c r="M1274" i="2"/>
  <c r="L1274" i="2"/>
  <c r="K1274" i="2"/>
  <c r="J1274" i="2"/>
  <c r="Q1261" i="2"/>
  <c r="P1261" i="2"/>
  <c r="O1261" i="2"/>
  <c r="N1261" i="2"/>
  <c r="M1261" i="2"/>
  <c r="L1261" i="2"/>
  <c r="K1261" i="2"/>
  <c r="J1261" i="2"/>
  <c r="Q1251" i="2"/>
  <c r="P1251" i="2"/>
  <c r="O1251" i="2"/>
  <c r="N1251" i="2"/>
  <c r="M1251" i="2"/>
  <c r="L1251" i="2"/>
  <c r="K1251" i="2"/>
  <c r="J1251" i="2"/>
  <c r="Q1246" i="2"/>
  <c r="P1246" i="2"/>
  <c r="O1246" i="2"/>
  <c r="N1246" i="2"/>
  <c r="M1246" i="2"/>
  <c r="L1246" i="2"/>
  <c r="K1246" i="2"/>
  <c r="J1246" i="2"/>
  <c r="Q1245" i="2"/>
  <c r="P1245" i="2"/>
  <c r="O1245" i="2"/>
  <c r="N1245" i="2"/>
  <c r="M1245" i="2"/>
  <c r="L1245" i="2"/>
  <c r="K1245" i="2"/>
  <c r="J1245" i="2"/>
  <c r="Q1244" i="2"/>
  <c r="P1244" i="2"/>
  <c r="O1244" i="2"/>
  <c r="N1244" i="2"/>
  <c r="M1244" i="2"/>
  <c r="L1244" i="2"/>
  <c r="K1244" i="2"/>
  <c r="J1244" i="2"/>
  <c r="Q1243" i="2"/>
  <c r="P1243" i="2"/>
  <c r="O1243" i="2"/>
  <c r="N1243" i="2"/>
  <c r="M1243" i="2"/>
  <c r="L1243" i="2"/>
  <c r="K1243" i="2"/>
  <c r="J1243" i="2"/>
  <c r="Q1241" i="2"/>
  <c r="P1241" i="2"/>
  <c r="O1241" i="2"/>
  <c r="N1241" i="2"/>
  <c r="M1241" i="2"/>
  <c r="L1241" i="2"/>
  <c r="K1241" i="2"/>
  <c r="J1241" i="2"/>
  <c r="Q1240" i="2"/>
  <c r="P1240" i="2"/>
  <c r="O1240" i="2"/>
  <c r="N1240" i="2"/>
  <c r="M1240" i="2"/>
  <c r="L1240" i="2"/>
  <c r="K1240" i="2"/>
  <c r="J1240" i="2"/>
  <c r="Q1239" i="2"/>
  <c r="P1239" i="2"/>
  <c r="O1239" i="2"/>
  <c r="N1239" i="2"/>
  <c r="M1239" i="2"/>
  <c r="L1239" i="2"/>
  <c r="K1239" i="2"/>
  <c r="J1239" i="2"/>
  <c r="Q1238" i="2"/>
  <c r="P1238" i="2"/>
  <c r="O1238" i="2"/>
  <c r="N1238" i="2"/>
  <c r="M1238" i="2"/>
  <c r="L1238" i="2"/>
  <c r="K1238" i="2"/>
  <c r="J1238" i="2"/>
  <c r="Q1226" i="2"/>
  <c r="P1226" i="2"/>
  <c r="O1226" i="2"/>
  <c r="N1226" i="2"/>
  <c r="M1226" i="2"/>
  <c r="L1226" i="2"/>
  <c r="K1226" i="2"/>
  <c r="J1226" i="2"/>
  <c r="Q1216" i="2"/>
  <c r="P1216" i="2"/>
  <c r="O1216" i="2"/>
  <c r="N1216" i="2"/>
  <c r="M1216" i="2"/>
  <c r="L1216" i="2"/>
  <c r="K1216" i="2"/>
  <c r="J1216" i="2"/>
  <c r="Q1202" i="2"/>
  <c r="P1202" i="2"/>
  <c r="O1202" i="2"/>
  <c r="N1202" i="2"/>
  <c r="M1202" i="2"/>
  <c r="L1202" i="2"/>
  <c r="K1202" i="2"/>
  <c r="J1202" i="2"/>
  <c r="Q1201" i="2"/>
  <c r="P1201" i="2"/>
  <c r="O1201" i="2"/>
  <c r="N1201" i="2"/>
  <c r="M1201" i="2"/>
  <c r="L1201" i="2"/>
  <c r="K1201" i="2"/>
  <c r="J1201" i="2"/>
  <c r="Q1200" i="2"/>
  <c r="P1200" i="2"/>
  <c r="O1200" i="2"/>
  <c r="N1200" i="2"/>
  <c r="M1200" i="2"/>
  <c r="L1200" i="2"/>
  <c r="K1200" i="2"/>
  <c r="J1200" i="2"/>
  <c r="Q1199" i="2"/>
  <c r="P1199" i="2"/>
  <c r="O1199" i="2"/>
  <c r="N1199" i="2"/>
  <c r="M1199" i="2"/>
  <c r="L1199" i="2"/>
  <c r="K1199" i="2"/>
  <c r="J1199" i="2"/>
  <c r="Q1190" i="2"/>
  <c r="P1190" i="2"/>
  <c r="O1190" i="2"/>
  <c r="N1190" i="2"/>
  <c r="M1190" i="2"/>
  <c r="L1190" i="2"/>
  <c r="K1190" i="2"/>
  <c r="J1190" i="2"/>
  <c r="Q1189" i="2"/>
  <c r="P1189" i="2"/>
  <c r="O1189" i="2"/>
  <c r="N1189" i="2"/>
  <c r="M1189" i="2"/>
  <c r="L1189" i="2"/>
  <c r="K1189" i="2"/>
  <c r="J1189" i="2"/>
  <c r="Q1188" i="2"/>
  <c r="P1188" i="2"/>
  <c r="O1188" i="2"/>
  <c r="N1188" i="2"/>
  <c r="M1188" i="2"/>
  <c r="L1188" i="2"/>
  <c r="K1188" i="2"/>
  <c r="J1188" i="2"/>
  <c r="Q1187" i="2"/>
  <c r="P1187" i="2"/>
  <c r="O1187" i="2"/>
  <c r="N1187" i="2"/>
  <c r="M1187" i="2"/>
  <c r="L1187" i="2"/>
  <c r="K1187" i="2"/>
  <c r="J1187" i="2"/>
  <c r="Q1185" i="2"/>
  <c r="P1185" i="2"/>
  <c r="O1185" i="2"/>
  <c r="N1185" i="2"/>
  <c r="M1185" i="2"/>
  <c r="L1185" i="2"/>
  <c r="K1185" i="2"/>
  <c r="J1185" i="2"/>
  <c r="Q1184" i="2"/>
  <c r="P1184" i="2"/>
  <c r="O1184" i="2"/>
  <c r="N1184" i="2"/>
  <c r="M1184" i="2"/>
  <c r="L1184" i="2"/>
  <c r="K1184" i="2"/>
  <c r="J1184" i="2"/>
  <c r="Q1183" i="2"/>
  <c r="P1183" i="2"/>
  <c r="O1183" i="2"/>
  <c r="N1183" i="2"/>
  <c r="M1183" i="2"/>
  <c r="L1183" i="2"/>
  <c r="K1183" i="2"/>
  <c r="J1183" i="2"/>
  <c r="Q1182" i="2"/>
  <c r="P1182" i="2"/>
  <c r="O1182" i="2"/>
  <c r="N1182" i="2"/>
  <c r="M1182" i="2"/>
  <c r="L1182" i="2"/>
  <c r="K1182" i="2"/>
  <c r="J1182" i="2"/>
  <c r="Q1175" i="2"/>
  <c r="P1175" i="2"/>
  <c r="O1175" i="2"/>
  <c r="N1175" i="2"/>
  <c r="M1175" i="2"/>
  <c r="L1175" i="2"/>
  <c r="K1175" i="2"/>
  <c r="J1175" i="2"/>
  <c r="Q1174" i="2"/>
  <c r="P1174" i="2"/>
  <c r="O1174" i="2"/>
  <c r="N1174" i="2"/>
  <c r="M1174" i="2"/>
  <c r="L1174" i="2"/>
  <c r="K1174" i="2"/>
  <c r="J1174" i="2"/>
  <c r="Q1173" i="2"/>
  <c r="P1173" i="2"/>
  <c r="O1173" i="2"/>
  <c r="N1173" i="2"/>
  <c r="M1173" i="2"/>
  <c r="L1173" i="2"/>
  <c r="K1173" i="2"/>
  <c r="J1173" i="2"/>
  <c r="Q1171" i="2"/>
  <c r="P1171" i="2"/>
  <c r="O1171" i="2"/>
  <c r="N1171" i="2"/>
  <c r="M1171" i="2"/>
  <c r="L1171" i="2"/>
  <c r="K1171" i="2"/>
  <c r="J1171" i="2"/>
  <c r="Q1170" i="2"/>
  <c r="P1170" i="2"/>
  <c r="O1170" i="2"/>
  <c r="N1170" i="2"/>
  <c r="M1170" i="2"/>
  <c r="L1170" i="2"/>
  <c r="K1170" i="2"/>
  <c r="J1170" i="2"/>
  <c r="Q1169" i="2"/>
  <c r="P1169" i="2"/>
  <c r="O1169" i="2"/>
  <c r="N1169" i="2"/>
  <c r="M1169" i="2"/>
  <c r="L1169" i="2"/>
  <c r="K1169" i="2"/>
  <c r="J1169" i="2"/>
  <c r="Q1168" i="2"/>
  <c r="P1168" i="2"/>
  <c r="O1168" i="2"/>
  <c r="N1168" i="2"/>
  <c r="M1168" i="2"/>
  <c r="L1168" i="2"/>
  <c r="K1168" i="2"/>
  <c r="J1168" i="2"/>
  <c r="Q1167" i="2"/>
  <c r="P1167" i="2"/>
  <c r="O1167" i="2"/>
  <c r="N1167" i="2"/>
  <c r="M1167" i="2"/>
  <c r="L1167" i="2"/>
  <c r="K1167" i="2"/>
  <c r="J1167" i="2"/>
  <c r="Q1165" i="2"/>
  <c r="P1165" i="2"/>
  <c r="O1165" i="2"/>
  <c r="N1165" i="2"/>
  <c r="M1165" i="2"/>
  <c r="L1165" i="2"/>
  <c r="K1165" i="2"/>
  <c r="J1165" i="2"/>
  <c r="Q1164" i="2"/>
  <c r="P1164" i="2"/>
  <c r="O1164" i="2"/>
  <c r="N1164" i="2"/>
  <c r="M1164" i="2"/>
  <c r="L1164" i="2"/>
  <c r="K1164" i="2"/>
  <c r="J1164" i="2"/>
  <c r="Q1162" i="2"/>
  <c r="P1162" i="2"/>
  <c r="O1162" i="2"/>
  <c r="N1162" i="2"/>
  <c r="M1162" i="2"/>
  <c r="L1162" i="2"/>
  <c r="K1162" i="2"/>
  <c r="J1162" i="2"/>
  <c r="Q1161" i="2"/>
  <c r="P1161" i="2"/>
  <c r="O1161" i="2"/>
  <c r="N1161" i="2"/>
  <c r="M1161" i="2"/>
  <c r="L1161" i="2"/>
  <c r="K1161" i="2"/>
  <c r="J1161" i="2"/>
  <c r="Q1160" i="2"/>
  <c r="P1160" i="2"/>
  <c r="O1160" i="2"/>
  <c r="N1160" i="2"/>
  <c r="M1160" i="2"/>
  <c r="L1160" i="2"/>
  <c r="K1160" i="2"/>
  <c r="J1160" i="2"/>
  <c r="Q1159" i="2"/>
  <c r="P1159" i="2"/>
  <c r="O1159" i="2"/>
  <c r="N1159" i="2"/>
  <c r="M1159" i="2"/>
  <c r="L1159" i="2"/>
  <c r="K1159" i="2"/>
  <c r="J1159" i="2"/>
  <c r="Q1158" i="2"/>
  <c r="P1158" i="2"/>
  <c r="O1158" i="2"/>
  <c r="N1158" i="2"/>
  <c r="M1158" i="2"/>
  <c r="L1158" i="2"/>
  <c r="K1158" i="2"/>
  <c r="J1158" i="2"/>
  <c r="Q1157" i="2"/>
  <c r="P1157" i="2"/>
  <c r="O1157" i="2"/>
  <c r="N1157" i="2"/>
  <c r="M1157" i="2"/>
  <c r="L1157" i="2"/>
  <c r="K1157" i="2"/>
  <c r="J1157" i="2"/>
  <c r="Q1156" i="2"/>
  <c r="P1156" i="2"/>
  <c r="O1156" i="2"/>
  <c r="N1156" i="2"/>
  <c r="M1156" i="2"/>
  <c r="L1156" i="2"/>
  <c r="K1156" i="2"/>
  <c r="J1156" i="2"/>
  <c r="Q1155" i="2"/>
  <c r="P1155" i="2"/>
  <c r="O1155" i="2"/>
  <c r="N1155" i="2"/>
  <c r="M1155" i="2"/>
  <c r="L1155" i="2"/>
  <c r="K1155" i="2"/>
  <c r="J1155" i="2"/>
  <c r="Q1153" i="2"/>
  <c r="P1153" i="2"/>
  <c r="O1153" i="2"/>
  <c r="N1153" i="2"/>
  <c r="M1153" i="2"/>
  <c r="L1153" i="2"/>
  <c r="K1153" i="2"/>
  <c r="J1153" i="2"/>
  <c r="Q1152" i="2"/>
  <c r="P1152" i="2"/>
  <c r="O1152" i="2"/>
  <c r="N1152" i="2"/>
  <c r="M1152" i="2"/>
  <c r="L1152" i="2"/>
  <c r="K1152" i="2"/>
  <c r="J1152" i="2"/>
  <c r="Q1151" i="2"/>
  <c r="P1151" i="2"/>
  <c r="O1151" i="2"/>
  <c r="N1151" i="2"/>
  <c r="M1151" i="2"/>
  <c r="L1151" i="2"/>
  <c r="K1151" i="2"/>
  <c r="J1151" i="2"/>
  <c r="Q1150" i="2"/>
  <c r="P1150" i="2"/>
  <c r="O1150" i="2"/>
  <c r="N1150" i="2"/>
  <c r="M1150" i="2"/>
  <c r="L1150" i="2"/>
  <c r="K1150" i="2"/>
  <c r="J1150" i="2"/>
  <c r="Q1149" i="2"/>
  <c r="P1149" i="2"/>
  <c r="O1149" i="2"/>
  <c r="N1149" i="2"/>
  <c r="M1149" i="2"/>
  <c r="L1149" i="2"/>
  <c r="K1149" i="2"/>
  <c r="J1149" i="2"/>
  <c r="Q1148" i="2"/>
  <c r="P1148" i="2"/>
  <c r="O1148" i="2"/>
  <c r="N1148" i="2"/>
  <c r="M1148" i="2"/>
  <c r="L1148" i="2"/>
  <c r="K1148" i="2"/>
  <c r="J1148" i="2"/>
  <c r="Q1147" i="2"/>
  <c r="P1147" i="2"/>
  <c r="O1147" i="2"/>
  <c r="N1147" i="2"/>
  <c r="M1147" i="2"/>
  <c r="L1147" i="2"/>
  <c r="K1147" i="2"/>
  <c r="J1147" i="2"/>
  <c r="Q1146" i="2"/>
  <c r="P1146" i="2"/>
  <c r="O1146" i="2"/>
  <c r="N1146" i="2"/>
  <c r="M1146" i="2"/>
  <c r="L1146" i="2"/>
  <c r="K1146" i="2"/>
  <c r="J1146" i="2"/>
  <c r="Q1144" i="2"/>
  <c r="P1144" i="2"/>
  <c r="O1144" i="2"/>
  <c r="N1144" i="2"/>
  <c r="M1144" i="2"/>
  <c r="L1144" i="2"/>
  <c r="K1144" i="2"/>
  <c r="J1144" i="2"/>
  <c r="Q1143" i="2"/>
  <c r="P1143" i="2"/>
  <c r="O1143" i="2"/>
  <c r="N1143" i="2"/>
  <c r="M1143" i="2"/>
  <c r="L1143" i="2"/>
  <c r="K1143" i="2"/>
  <c r="J1143" i="2"/>
  <c r="Q1142" i="2"/>
  <c r="P1142" i="2"/>
  <c r="O1142" i="2"/>
  <c r="N1142" i="2"/>
  <c r="M1142" i="2"/>
  <c r="L1142" i="2"/>
  <c r="K1142" i="2"/>
  <c r="J1142" i="2"/>
  <c r="Q1141" i="2"/>
  <c r="P1141" i="2"/>
  <c r="O1141" i="2"/>
  <c r="N1141" i="2"/>
  <c r="M1141" i="2"/>
  <c r="L1141" i="2"/>
  <c r="K1141" i="2"/>
  <c r="J1141" i="2"/>
  <c r="Q1139" i="2"/>
  <c r="P1139" i="2"/>
  <c r="O1139" i="2"/>
  <c r="N1139" i="2"/>
  <c r="M1139" i="2"/>
  <c r="L1139" i="2"/>
  <c r="K1139" i="2"/>
  <c r="J1139" i="2"/>
  <c r="Q1138" i="2"/>
  <c r="P1138" i="2"/>
  <c r="O1138" i="2"/>
  <c r="N1138" i="2"/>
  <c r="M1138" i="2"/>
  <c r="L1138" i="2"/>
  <c r="K1138" i="2"/>
  <c r="J1138" i="2"/>
  <c r="Q1137" i="2"/>
  <c r="P1137" i="2"/>
  <c r="O1137" i="2"/>
  <c r="N1137" i="2"/>
  <c r="M1137" i="2"/>
  <c r="L1137" i="2"/>
  <c r="K1137" i="2"/>
  <c r="J1137" i="2"/>
  <c r="Q1136" i="2"/>
  <c r="P1136" i="2"/>
  <c r="O1136" i="2"/>
  <c r="N1136" i="2"/>
  <c r="M1136" i="2"/>
  <c r="L1136" i="2"/>
  <c r="K1136" i="2"/>
  <c r="J1136" i="2"/>
  <c r="Q1133" i="2"/>
  <c r="P1133" i="2"/>
  <c r="O1133" i="2"/>
  <c r="N1133" i="2"/>
  <c r="M1133" i="2"/>
  <c r="L1133" i="2"/>
  <c r="K1133" i="2"/>
  <c r="J1133" i="2"/>
  <c r="Q1132" i="2"/>
  <c r="P1132" i="2"/>
  <c r="O1132" i="2"/>
  <c r="N1132" i="2"/>
  <c r="M1132" i="2"/>
  <c r="L1132" i="2"/>
  <c r="K1132" i="2"/>
  <c r="J1132" i="2"/>
  <c r="Q1131" i="2"/>
  <c r="P1131" i="2"/>
  <c r="O1131" i="2"/>
  <c r="N1131" i="2"/>
  <c r="M1131" i="2"/>
  <c r="L1131" i="2"/>
  <c r="K1131" i="2"/>
  <c r="J1131" i="2"/>
  <c r="Q1130" i="2"/>
  <c r="P1130" i="2"/>
  <c r="O1130" i="2"/>
  <c r="N1130" i="2"/>
  <c r="M1130" i="2"/>
  <c r="L1130" i="2"/>
  <c r="K1130" i="2"/>
  <c r="J1130" i="2"/>
  <c r="Q1129" i="2"/>
  <c r="P1129" i="2"/>
  <c r="O1129" i="2"/>
  <c r="N1129" i="2"/>
  <c r="M1129" i="2"/>
  <c r="L1129" i="2"/>
  <c r="K1129" i="2"/>
  <c r="J1129" i="2"/>
  <c r="Q1128" i="2"/>
  <c r="P1128" i="2"/>
  <c r="O1128" i="2"/>
  <c r="N1128" i="2"/>
  <c r="M1128" i="2"/>
  <c r="L1128" i="2"/>
  <c r="K1128" i="2"/>
  <c r="J1128" i="2"/>
  <c r="Q1127" i="2"/>
  <c r="P1127" i="2"/>
  <c r="O1127" i="2"/>
  <c r="N1127" i="2"/>
  <c r="M1127" i="2"/>
  <c r="L1127" i="2"/>
  <c r="K1127" i="2"/>
  <c r="J1127" i="2"/>
  <c r="Q1126" i="2"/>
  <c r="P1126" i="2"/>
  <c r="O1126" i="2"/>
  <c r="N1126" i="2"/>
  <c r="M1126" i="2"/>
  <c r="L1126" i="2"/>
  <c r="K1126" i="2"/>
  <c r="J1126" i="2"/>
  <c r="Q1124" i="2"/>
  <c r="P1124" i="2"/>
  <c r="O1124" i="2"/>
  <c r="N1124" i="2"/>
  <c r="M1124" i="2"/>
  <c r="L1124" i="2"/>
  <c r="K1124" i="2"/>
  <c r="J1124" i="2"/>
  <c r="Q1123" i="2"/>
  <c r="P1123" i="2"/>
  <c r="O1123" i="2"/>
  <c r="N1123" i="2"/>
  <c r="M1123" i="2"/>
  <c r="L1123" i="2"/>
  <c r="K1123" i="2"/>
  <c r="J1123" i="2"/>
  <c r="Q1122" i="2"/>
  <c r="P1122" i="2"/>
  <c r="O1122" i="2"/>
  <c r="N1122" i="2"/>
  <c r="M1122" i="2"/>
  <c r="L1122" i="2"/>
  <c r="K1122" i="2"/>
  <c r="J1122" i="2"/>
  <c r="Q1121" i="2"/>
  <c r="P1121" i="2"/>
  <c r="O1121" i="2"/>
  <c r="N1121" i="2"/>
  <c r="M1121" i="2"/>
  <c r="L1121" i="2"/>
  <c r="K1121" i="2"/>
  <c r="J1121" i="2"/>
  <c r="Q1120" i="2"/>
  <c r="P1120" i="2"/>
  <c r="O1120" i="2"/>
  <c r="N1120" i="2"/>
  <c r="M1120" i="2"/>
  <c r="L1120" i="2"/>
  <c r="K1120" i="2"/>
  <c r="J1120" i="2"/>
  <c r="Q1119" i="2"/>
  <c r="P1119" i="2"/>
  <c r="O1119" i="2"/>
  <c r="N1119" i="2"/>
  <c r="M1119" i="2"/>
  <c r="L1119" i="2"/>
  <c r="K1119" i="2"/>
  <c r="J1119" i="2"/>
  <c r="Q1118" i="2"/>
  <c r="P1118" i="2"/>
  <c r="O1118" i="2"/>
  <c r="N1118" i="2"/>
  <c r="M1118" i="2"/>
  <c r="L1118" i="2"/>
  <c r="K1118" i="2"/>
  <c r="J1118" i="2"/>
  <c r="Q1117" i="2"/>
  <c r="P1117" i="2"/>
  <c r="O1117" i="2"/>
  <c r="N1117" i="2"/>
  <c r="M1117" i="2"/>
  <c r="L1117" i="2"/>
  <c r="K1117" i="2"/>
  <c r="J1117" i="2"/>
  <c r="Q1112" i="2"/>
  <c r="P1112" i="2"/>
  <c r="O1112" i="2"/>
  <c r="N1112" i="2"/>
  <c r="M1112" i="2"/>
  <c r="L1112" i="2"/>
  <c r="K1112" i="2"/>
  <c r="J1112" i="2"/>
  <c r="Q1111" i="2"/>
  <c r="P1111" i="2"/>
  <c r="O1111" i="2"/>
  <c r="N1111" i="2"/>
  <c r="M1111" i="2"/>
  <c r="L1111" i="2"/>
  <c r="K1111" i="2"/>
  <c r="J1111" i="2"/>
  <c r="Q1109" i="2"/>
  <c r="P1109" i="2"/>
  <c r="O1109" i="2"/>
  <c r="N1109" i="2"/>
  <c r="M1109" i="2"/>
  <c r="L1109" i="2"/>
  <c r="K1109" i="2"/>
  <c r="J1109" i="2"/>
  <c r="Q1108" i="2"/>
  <c r="P1108" i="2"/>
  <c r="O1108" i="2"/>
  <c r="N1108" i="2"/>
  <c r="M1108" i="2"/>
  <c r="L1108" i="2"/>
  <c r="K1108" i="2"/>
  <c r="J1108" i="2"/>
  <c r="Q1107" i="2"/>
  <c r="P1107" i="2"/>
  <c r="O1107" i="2"/>
  <c r="N1107" i="2"/>
  <c r="M1107" i="2"/>
  <c r="L1107" i="2"/>
  <c r="K1107" i="2"/>
  <c r="J1107" i="2"/>
  <c r="Q1106" i="2"/>
  <c r="P1106" i="2"/>
  <c r="O1106" i="2"/>
  <c r="N1106" i="2"/>
  <c r="M1106" i="2"/>
  <c r="L1106" i="2"/>
  <c r="K1106" i="2"/>
  <c r="J1106" i="2"/>
  <c r="Q1104" i="2"/>
  <c r="P1104" i="2"/>
  <c r="O1104" i="2"/>
  <c r="N1104" i="2"/>
  <c r="M1104" i="2"/>
  <c r="L1104" i="2"/>
  <c r="K1104" i="2"/>
  <c r="J1104" i="2"/>
  <c r="Q1103" i="2"/>
  <c r="P1103" i="2"/>
  <c r="O1103" i="2"/>
  <c r="N1103" i="2"/>
  <c r="M1103" i="2"/>
  <c r="L1103" i="2"/>
  <c r="K1103" i="2"/>
  <c r="J1103" i="2"/>
  <c r="Q1102" i="2"/>
  <c r="P1102" i="2"/>
  <c r="O1102" i="2"/>
  <c r="N1102" i="2"/>
  <c r="M1102" i="2"/>
  <c r="L1102" i="2"/>
  <c r="K1102" i="2"/>
  <c r="J1102" i="2"/>
  <c r="Q1101" i="2"/>
  <c r="P1101" i="2"/>
  <c r="O1101" i="2"/>
  <c r="N1101" i="2"/>
  <c r="M1101" i="2"/>
  <c r="L1101" i="2"/>
  <c r="K1101" i="2"/>
  <c r="J1101" i="2"/>
  <c r="Q1099" i="2"/>
  <c r="P1099" i="2"/>
  <c r="O1099" i="2"/>
  <c r="N1099" i="2"/>
  <c r="M1099" i="2"/>
  <c r="L1099" i="2"/>
  <c r="K1099" i="2"/>
  <c r="J1099" i="2"/>
  <c r="Q1098" i="2"/>
  <c r="P1098" i="2"/>
  <c r="O1098" i="2"/>
  <c r="N1098" i="2"/>
  <c r="M1098" i="2"/>
  <c r="L1098" i="2"/>
  <c r="K1098" i="2"/>
  <c r="J1098" i="2"/>
  <c r="Q1097" i="2"/>
  <c r="P1097" i="2"/>
  <c r="O1097" i="2"/>
  <c r="N1097" i="2"/>
  <c r="M1097" i="2"/>
  <c r="L1097" i="2"/>
  <c r="K1097" i="2"/>
  <c r="J1097" i="2"/>
  <c r="Q1096" i="2"/>
  <c r="P1096" i="2"/>
  <c r="O1096" i="2"/>
  <c r="N1096" i="2"/>
  <c r="M1096" i="2"/>
  <c r="L1096" i="2"/>
  <c r="K1096" i="2"/>
  <c r="J1096" i="2"/>
  <c r="Q1094" i="2"/>
  <c r="P1094" i="2"/>
  <c r="O1094" i="2"/>
  <c r="N1094" i="2"/>
  <c r="M1094" i="2"/>
  <c r="L1094" i="2"/>
  <c r="K1094" i="2"/>
  <c r="J1094" i="2"/>
  <c r="Q1093" i="2"/>
  <c r="P1093" i="2"/>
  <c r="O1093" i="2"/>
  <c r="N1093" i="2"/>
  <c r="M1093" i="2"/>
  <c r="L1093" i="2"/>
  <c r="K1093" i="2"/>
  <c r="J1093" i="2"/>
  <c r="Q1092" i="2"/>
  <c r="P1092" i="2"/>
  <c r="O1092" i="2"/>
  <c r="N1092" i="2"/>
  <c r="M1092" i="2"/>
  <c r="L1092" i="2"/>
  <c r="K1092" i="2"/>
  <c r="J1092" i="2"/>
  <c r="Q1091" i="2"/>
  <c r="P1091" i="2"/>
  <c r="O1091" i="2"/>
  <c r="N1091" i="2"/>
  <c r="M1091" i="2"/>
  <c r="L1091" i="2"/>
  <c r="K1091" i="2"/>
  <c r="J1091" i="2"/>
  <c r="Q1084" i="2"/>
  <c r="P1084" i="2"/>
  <c r="O1084" i="2"/>
  <c r="N1084" i="2"/>
  <c r="M1084" i="2"/>
  <c r="L1084" i="2"/>
  <c r="K1084" i="2"/>
  <c r="J1084" i="2"/>
  <c r="Q1083" i="2"/>
  <c r="P1083" i="2"/>
  <c r="O1083" i="2"/>
  <c r="N1083" i="2"/>
  <c r="M1083" i="2"/>
  <c r="L1083" i="2"/>
  <c r="K1083" i="2"/>
  <c r="J1083" i="2"/>
  <c r="Q1082" i="2"/>
  <c r="P1082" i="2"/>
  <c r="O1082" i="2"/>
  <c r="N1082" i="2"/>
  <c r="M1082" i="2"/>
  <c r="L1082" i="2"/>
  <c r="K1082" i="2"/>
  <c r="J1082" i="2"/>
  <c r="Q1081" i="2"/>
  <c r="P1081" i="2"/>
  <c r="O1081" i="2"/>
  <c r="N1081" i="2"/>
  <c r="M1081" i="2"/>
  <c r="L1081" i="2"/>
  <c r="K1081" i="2"/>
  <c r="J1081" i="2"/>
  <c r="Q1079" i="2"/>
  <c r="P1079" i="2"/>
  <c r="O1079" i="2"/>
  <c r="N1079" i="2"/>
  <c r="M1079" i="2"/>
  <c r="L1079" i="2"/>
  <c r="K1079" i="2"/>
  <c r="J1079" i="2"/>
  <c r="Q1078" i="2"/>
  <c r="P1078" i="2"/>
  <c r="O1078" i="2"/>
  <c r="N1078" i="2"/>
  <c r="M1078" i="2"/>
  <c r="L1078" i="2"/>
  <c r="K1078" i="2"/>
  <c r="J1078" i="2"/>
  <c r="Q1077" i="2"/>
  <c r="P1077" i="2"/>
  <c r="O1077" i="2"/>
  <c r="N1077" i="2"/>
  <c r="M1077" i="2"/>
  <c r="L1077" i="2"/>
  <c r="K1077" i="2"/>
  <c r="J1077" i="2"/>
  <c r="Q1076" i="2"/>
  <c r="P1076" i="2"/>
  <c r="O1076" i="2"/>
  <c r="N1076" i="2"/>
  <c r="M1076" i="2"/>
  <c r="L1076" i="2"/>
  <c r="K1076" i="2"/>
  <c r="J1076" i="2"/>
  <c r="Q1074" i="2"/>
  <c r="P1074" i="2"/>
  <c r="O1074" i="2"/>
  <c r="N1074" i="2"/>
  <c r="M1074" i="2"/>
  <c r="L1074" i="2"/>
  <c r="K1074" i="2"/>
  <c r="J1074" i="2"/>
  <c r="Q1073" i="2"/>
  <c r="P1073" i="2"/>
  <c r="O1073" i="2"/>
  <c r="N1073" i="2"/>
  <c r="M1073" i="2"/>
  <c r="L1073" i="2"/>
  <c r="K1073" i="2"/>
  <c r="J1073" i="2"/>
  <c r="Q1072" i="2"/>
  <c r="P1072" i="2"/>
  <c r="O1072" i="2"/>
  <c r="N1072" i="2"/>
  <c r="M1072" i="2"/>
  <c r="L1072" i="2"/>
  <c r="K1072" i="2"/>
  <c r="J1072" i="2"/>
  <c r="Q1071" i="2"/>
  <c r="P1071" i="2"/>
  <c r="O1071" i="2"/>
  <c r="N1071" i="2"/>
  <c r="M1071" i="2"/>
  <c r="L1071" i="2"/>
  <c r="K1071" i="2"/>
  <c r="J1071" i="2"/>
  <c r="K1067" i="2"/>
  <c r="K1066" i="2"/>
  <c r="K1065" i="2"/>
  <c r="K1063" i="2"/>
  <c r="K1062" i="2"/>
  <c r="K1061" i="2"/>
  <c r="Q1059" i="2"/>
  <c r="P1059" i="2"/>
  <c r="O1059" i="2"/>
  <c r="N1059" i="2"/>
  <c r="M1059" i="2"/>
  <c r="L1059" i="2"/>
  <c r="K1059" i="2"/>
  <c r="J1059" i="2"/>
  <c r="Q1058" i="2"/>
  <c r="P1058" i="2"/>
  <c r="O1058" i="2"/>
  <c r="N1058" i="2"/>
  <c r="M1058" i="2"/>
  <c r="L1058" i="2"/>
  <c r="K1058" i="2"/>
  <c r="J1058" i="2"/>
  <c r="Q1057" i="2"/>
  <c r="P1057" i="2"/>
  <c r="O1057" i="2"/>
  <c r="N1057" i="2"/>
  <c r="M1057" i="2"/>
  <c r="L1057" i="2"/>
  <c r="K1057" i="2"/>
  <c r="J1057" i="2"/>
  <c r="Q1056" i="2"/>
  <c r="P1056" i="2"/>
  <c r="O1056" i="2"/>
  <c r="N1056" i="2"/>
  <c r="M1056" i="2"/>
  <c r="L1056" i="2"/>
  <c r="K1056" i="2"/>
  <c r="J1056" i="2"/>
  <c r="Q1054" i="2"/>
  <c r="P1054" i="2"/>
  <c r="O1054" i="2"/>
  <c r="N1054" i="2"/>
  <c r="M1054" i="2"/>
  <c r="L1054" i="2"/>
  <c r="K1054" i="2"/>
  <c r="J1054" i="2"/>
  <c r="Q1053" i="2"/>
  <c r="P1053" i="2"/>
  <c r="O1053" i="2"/>
  <c r="N1053" i="2"/>
  <c r="M1053" i="2"/>
  <c r="L1053" i="2"/>
  <c r="K1053" i="2"/>
  <c r="J1053" i="2"/>
  <c r="Q1052" i="2"/>
  <c r="P1052" i="2"/>
  <c r="O1052" i="2"/>
  <c r="N1052" i="2"/>
  <c r="M1052" i="2"/>
  <c r="L1052" i="2"/>
  <c r="K1052" i="2"/>
  <c r="J1052" i="2"/>
  <c r="Q1051" i="2"/>
  <c r="P1051" i="2"/>
  <c r="O1051" i="2"/>
  <c r="N1051" i="2"/>
  <c r="M1051" i="2"/>
  <c r="L1051" i="2"/>
  <c r="K1051" i="2"/>
  <c r="J1051" i="2"/>
  <c r="Q1044" i="2"/>
  <c r="P1044" i="2"/>
  <c r="O1044" i="2"/>
  <c r="N1044" i="2"/>
  <c r="M1044" i="2"/>
  <c r="L1044" i="2"/>
  <c r="K1044" i="2"/>
  <c r="J1044" i="2"/>
  <c r="Q1043" i="2"/>
  <c r="P1043" i="2"/>
  <c r="O1043" i="2"/>
  <c r="N1043" i="2"/>
  <c r="M1043" i="2"/>
  <c r="L1043" i="2"/>
  <c r="K1043" i="2"/>
  <c r="J1043" i="2"/>
  <c r="Q1042" i="2"/>
  <c r="P1042" i="2"/>
  <c r="O1042" i="2"/>
  <c r="N1042" i="2"/>
  <c r="M1042" i="2"/>
  <c r="L1042" i="2"/>
  <c r="K1042" i="2"/>
  <c r="J1042" i="2"/>
  <c r="Q1041" i="2"/>
  <c r="P1041" i="2"/>
  <c r="O1041" i="2"/>
  <c r="N1041" i="2"/>
  <c r="M1041" i="2"/>
  <c r="L1041" i="2"/>
  <c r="K1041" i="2"/>
  <c r="J1041" i="2"/>
  <c r="Q1039" i="2"/>
  <c r="P1039" i="2"/>
  <c r="O1039" i="2"/>
  <c r="N1039" i="2"/>
  <c r="M1039" i="2"/>
  <c r="L1039" i="2"/>
  <c r="K1039" i="2"/>
  <c r="J1039" i="2"/>
  <c r="Q1038" i="2"/>
  <c r="P1038" i="2"/>
  <c r="O1038" i="2"/>
  <c r="N1038" i="2"/>
  <c r="M1038" i="2"/>
  <c r="L1038" i="2"/>
  <c r="K1038" i="2"/>
  <c r="J1038" i="2"/>
  <c r="Q1037" i="2"/>
  <c r="P1037" i="2"/>
  <c r="O1037" i="2"/>
  <c r="N1037" i="2"/>
  <c r="M1037" i="2"/>
  <c r="L1037" i="2"/>
  <c r="K1037" i="2"/>
  <c r="J1037" i="2"/>
  <c r="Q1036" i="2"/>
  <c r="P1036" i="2"/>
  <c r="O1036" i="2"/>
  <c r="N1036" i="2"/>
  <c r="M1036" i="2"/>
  <c r="L1036" i="2"/>
  <c r="K1036" i="2"/>
  <c r="J1036" i="2"/>
  <c r="Q1034" i="2"/>
  <c r="P1034" i="2"/>
  <c r="O1034" i="2"/>
  <c r="N1034" i="2"/>
  <c r="M1034" i="2"/>
  <c r="L1034" i="2"/>
  <c r="K1034" i="2"/>
  <c r="J1034" i="2"/>
  <c r="Q1033" i="2"/>
  <c r="P1033" i="2"/>
  <c r="O1033" i="2"/>
  <c r="N1033" i="2"/>
  <c r="M1033" i="2"/>
  <c r="L1033" i="2"/>
  <c r="K1033" i="2"/>
  <c r="J1033" i="2"/>
  <c r="Q1032" i="2"/>
  <c r="P1032" i="2"/>
  <c r="O1032" i="2"/>
  <c r="N1032" i="2"/>
  <c r="M1032" i="2"/>
  <c r="L1032" i="2"/>
  <c r="K1032" i="2"/>
  <c r="J1032" i="2"/>
  <c r="Q1031" i="2"/>
  <c r="P1031" i="2"/>
  <c r="O1031" i="2"/>
  <c r="N1031" i="2"/>
  <c r="M1031" i="2"/>
  <c r="L1031" i="2"/>
  <c r="K1031" i="2"/>
  <c r="J1031" i="2"/>
  <c r="Q1029" i="2"/>
  <c r="P1029" i="2"/>
  <c r="O1029" i="2"/>
  <c r="N1029" i="2"/>
  <c r="M1029" i="2"/>
  <c r="L1029" i="2"/>
  <c r="K1029" i="2"/>
  <c r="J1029" i="2"/>
  <c r="Q1028" i="2"/>
  <c r="P1028" i="2"/>
  <c r="O1028" i="2"/>
  <c r="N1028" i="2"/>
  <c r="M1028" i="2"/>
  <c r="L1028" i="2"/>
  <c r="K1028" i="2"/>
  <c r="J1028" i="2"/>
  <c r="Q1027" i="2"/>
  <c r="P1027" i="2"/>
  <c r="O1027" i="2"/>
  <c r="N1027" i="2"/>
  <c r="M1027" i="2"/>
  <c r="L1027" i="2"/>
  <c r="K1027" i="2"/>
  <c r="J1027" i="2"/>
  <c r="Q1026" i="2"/>
  <c r="P1026" i="2"/>
  <c r="O1026" i="2"/>
  <c r="N1026" i="2"/>
  <c r="M1026" i="2"/>
  <c r="L1026" i="2"/>
  <c r="K1026" i="2"/>
  <c r="J1026" i="2"/>
  <c r="K1022" i="2"/>
  <c r="K1021" i="2"/>
  <c r="K1020" i="2"/>
  <c r="K1018" i="2"/>
  <c r="K1017" i="2"/>
  <c r="K1015" i="2"/>
  <c r="K1014" i="2"/>
  <c r="K1013" i="2"/>
  <c r="Q1011" i="2"/>
  <c r="P1011" i="2"/>
  <c r="O1011" i="2"/>
  <c r="N1011" i="2"/>
  <c r="M1011" i="2"/>
  <c r="L1011" i="2"/>
  <c r="K1011" i="2"/>
  <c r="J1011" i="2"/>
  <c r="Q1010" i="2"/>
  <c r="P1010" i="2"/>
  <c r="O1010" i="2"/>
  <c r="N1010" i="2"/>
  <c r="M1010" i="2"/>
  <c r="L1010" i="2"/>
  <c r="K1010" i="2"/>
  <c r="J1010" i="2"/>
  <c r="Q1009" i="2"/>
  <c r="P1009" i="2"/>
  <c r="O1009" i="2"/>
  <c r="N1009" i="2"/>
  <c r="M1009" i="2"/>
  <c r="L1009" i="2"/>
  <c r="K1009" i="2"/>
  <c r="J1009" i="2"/>
  <c r="Q1008" i="2"/>
  <c r="P1008" i="2"/>
  <c r="O1008" i="2"/>
  <c r="N1008" i="2"/>
  <c r="M1008" i="2"/>
  <c r="L1008" i="2"/>
  <c r="K1008" i="2"/>
  <c r="J1008" i="2"/>
  <c r="Q1006" i="2"/>
  <c r="P1006" i="2"/>
  <c r="O1006" i="2"/>
  <c r="N1006" i="2"/>
  <c r="M1006" i="2"/>
  <c r="L1006" i="2"/>
  <c r="K1006" i="2"/>
  <c r="J1006" i="2"/>
  <c r="Q1005" i="2"/>
  <c r="P1005" i="2"/>
  <c r="O1005" i="2"/>
  <c r="N1005" i="2"/>
  <c r="M1005" i="2"/>
  <c r="L1005" i="2"/>
  <c r="K1005" i="2"/>
  <c r="J1005" i="2"/>
  <c r="Q1004" i="2"/>
  <c r="P1004" i="2"/>
  <c r="O1004" i="2"/>
  <c r="N1004" i="2"/>
  <c r="M1004" i="2"/>
  <c r="L1004" i="2"/>
  <c r="K1004" i="2"/>
  <c r="J1004" i="2"/>
  <c r="Q1003" i="2"/>
  <c r="P1003" i="2"/>
  <c r="O1003" i="2"/>
  <c r="N1003" i="2"/>
  <c r="M1003" i="2"/>
  <c r="L1003" i="2"/>
  <c r="K1003" i="2"/>
  <c r="J1003" i="2"/>
  <c r="Q1001" i="2"/>
  <c r="P1001" i="2"/>
  <c r="O1001" i="2"/>
  <c r="N1001" i="2"/>
  <c r="M1001" i="2"/>
  <c r="L1001" i="2"/>
  <c r="K1001" i="2"/>
  <c r="J1001" i="2"/>
  <c r="Q1000" i="2"/>
  <c r="P1000" i="2"/>
  <c r="O1000" i="2"/>
  <c r="N1000" i="2"/>
  <c r="M1000" i="2"/>
  <c r="L1000" i="2"/>
  <c r="K1000" i="2"/>
  <c r="J1000" i="2"/>
  <c r="Q999" i="2"/>
  <c r="P999" i="2"/>
  <c r="O999" i="2"/>
  <c r="N999" i="2"/>
  <c r="M999" i="2"/>
  <c r="L999" i="2"/>
  <c r="K999" i="2"/>
  <c r="J999" i="2"/>
  <c r="Q998" i="2"/>
  <c r="P998" i="2"/>
  <c r="O998" i="2"/>
  <c r="N998" i="2"/>
  <c r="M998" i="2"/>
  <c r="L998" i="2"/>
  <c r="K998" i="2"/>
  <c r="J998" i="2"/>
  <c r="K992" i="2"/>
  <c r="K991" i="2"/>
  <c r="K990" i="2"/>
  <c r="K988" i="2"/>
  <c r="K987" i="2"/>
  <c r="K986" i="2"/>
  <c r="Q984" i="2"/>
  <c r="P984" i="2"/>
  <c r="O984" i="2"/>
  <c r="N984" i="2"/>
  <c r="M984" i="2"/>
  <c r="L984" i="2"/>
  <c r="K984" i="2"/>
  <c r="J984" i="2"/>
  <c r="Q983" i="2"/>
  <c r="P983" i="2"/>
  <c r="O983" i="2"/>
  <c r="N983" i="2"/>
  <c r="M983" i="2"/>
  <c r="L983" i="2"/>
  <c r="K983" i="2"/>
  <c r="J983" i="2"/>
  <c r="Q982" i="2"/>
  <c r="P982" i="2"/>
  <c r="O982" i="2"/>
  <c r="N982" i="2"/>
  <c r="M982" i="2"/>
  <c r="L982" i="2"/>
  <c r="K982" i="2"/>
  <c r="J982" i="2"/>
  <c r="Q981" i="2"/>
  <c r="P981" i="2"/>
  <c r="O981" i="2"/>
  <c r="N981" i="2"/>
  <c r="M981" i="2"/>
  <c r="L981" i="2"/>
  <c r="K981" i="2"/>
  <c r="J981" i="2"/>
  <c r="Q980" i="2"/>
  <c r="P980" i="2"/>
  <c r="O980" i="2"/>
  <c r="N980" i="2"/>
  <c r="M980" i="2"/>
  <c r="L980" i="2"/>
  <c r="K980" i="2"/>
  <c r="J980" i="2"/>
  <c r="Q978" i="2"/>
  <c r="P978" i="2"/>
  <c r="O978" i="2"/>
  <c r="N978" i="2"/>
  <c r="M978" i="2"/>
  <c r="L978" i="2"/>
  <c r="K978" i="2"/>
  <c r="J978" i="2"/>
  <c r="Q977" i="2"/>
  <c r="P977" i="2"/>
  <c r="O977" i="2"/>
  <c r="N977" i="2"/>
  <c r="M977" i="2"/>
  <c r="L977" i="2"/>
  <c r="K977" i="2"/>
  <c r="J977" i="2"/>
  <c r="Q976" i="2"/>
  <c r="P976" i="2"/>
  <c r="O976" i="2"/>
  <c r="N976" i="2"/>
  <c r="M976" i="2"/>
  <c r="L976" i="2"/>
  <c r="K976" i="2"/>
  <c r="J976" i="2"/>
  <c r="Q975" i="2"/>
  <c r="P975" i="2"/>
  <c r="O975" i="2"/>
  <c r="N975" i="2"/>
  <c r="M975" i="2"/>
  <c r="L975" i="2"/>
  <c r="K975" i="2"/>
  <c r="J975" i="2"/>
  <c r="Q974" i="2"/>
  <c r="P974" i="2"/>
  <c r="O974" i="2"/>
  <c r="N974" i="2"/>
  <c r="M974" i="2"/>
  <c r="L974" i="2"/>
  <c r="K974" i="2"/>
  <c r="J974" i="2"/>
  <c r="Q972" i="2"/>
  <c r="P972" i="2"/>
  <c r="O972" i="2"/>
  <c r="N972" i="2"/>
  <c r="M972" i="2"/>
  <c r="L972" i="2"/>
  <c r="K972" i="2"/>
  <c r="J972" i="2"/>
  <c r="Q971" i="2"/>
  <c r="P971" i="2"/>
  <c r="O971" i="2"/>
  <c r="N971" i="2"/>
  <c r="M971" i="2"/>
  <c r="L971" i="2"/>
  <c r="K971" i="2"/>
  <c r="J971" i="2"/>
  <c r="Q970" i="2"/>
  <c r="P970" i="2"/>
  <c r="O970" i="2"/>
  <c r="N970" i="2"/>
  <c r="M970" i="2"/>
  <c r="L970" i="2"/>
  <c r="K970" i="2"/>
  <c r="J970" i="2"/>
  <c r="Q969" i="2"/>
  <c r="P969" i="2"/>
  <c r="O969" i="2"/>
  <c r="N969" i="2"/>
  <c r="M969" i="2"/>
  <c r="L969" i="2"/>
  <c r="K969" i="2"/>
  <c r="J969" i="2"/>
  <c r="Q968" i="2"/>
  <c r="P968" i="2"/>
  <c r="O968" i="2"/>
  <c r="N968" i="2"/>
  <c r="M968" i="2"/>
  <c r="L968" i="2"/>
  <c r="K968" i="2"/>
  <c r="J968" i="2"/>
  <c r="Q966" i="2"/>
  <c r="P966" i="2"/>
  <c r="O966" i="2"/>
  <c r="N966" i="2"/>
  <c r="M966" i="2"/>
  <c r="L966" i="2"/>
  <c r="K966" i="2"/>
  <c r="J966" i="2"/>
  <c r="Q965" i="2"/>
  <c r="P965" i="2"/>
  <c r="O965" i="2"/>
  <c r="N965" i="2"/>
  <c r="M965" i="2"/>
  <c r="L965" i="2"/>
  <c r="K965" i="2"/>
  <c r="J965" i="2"/>
  <c r="Q964" i="2"/>
  <c r="P964" i="2"/>
  <c r="O964" i="2"/>
  <c r="N964" i="2"/>
  <c r="M964" i="2"/>
  <c r="L964" i="2"/>
  <c r="K964" i="2"/>
  <c r="J964" i="2"/>
  <c r="Q963" i="2"/>
  <c r="P963" i="2"/>
  <c r="O963" i="2"/>
  <c r="N963" i="2"/>
  <c r="M963" i="2"/>
  <c r="L963" i="2"/>
  <c r="K963" i="2"/>
  <c r="J963" i="2"/>
  <c r="Q962" i="2"/>
  <c r="P962" i="2"/>
  <c r="O962" i="2"/>
  <c r="N962" i="2"/>
  <c r="M962" i="2"/>
  <c r="L962" i="2"/>
  <c r="K962" i="2"/>
  <c r="J962" i="2"/>
  <c r="Q961" i="2"/>
  <c r="P961" i="2"/>
  <c r="O961" i="2"/>
  <c r="N961" i="2"/>
  <c r="M961" i="2"/>
  <c r="L961" i="2"/>
  <c r="K961" i="2"/>
  <c r="J961" i="2"/>
  <c r="Q959" i="2"/>
  <c r="P959" i="2"/>
  <c r="O959" i="2"/>
  <c r="N959" i="2"/>
  <c r="M959" i="2"/>
  <c r="L959" i="2"/>
  <c r="K959" i="2"/>
  <c r="J959" i="2"/>
  <c r="Q958" i="2"/>
  <c r="P958" i="2"/>
  <c r="O958" i="2"/>
  <c r="N958" i="2"/>
  <c r="M958" i="2"/>
  <c r="L958" i="2"/>
  <c r="K958" i="2"/>
  <c r="J958" i="2"/>
  <c r="Q957" i="2"/>
  <c r="P957" i="2"/>
  <c r="O957" i="2"/>
  <c r="N957" i="2"/>
  <c r="M957" i="2"/>
  <c r="L957" i="2"/>
  <c r="K957" i="2"/>
  <c r="J957" i="2"/>
  <c r="Q956" i="2"/>
  <c r="P956" i="2"/>
  <c r="O956" i="2"/>
  <c r="N956" i="2"/>
  <c r="M956" i="2"/>
  <c r="L956" i="2"/>
  <c r="K956" i="2"/>
  <c r="J956" i="2"/>
  <c r="Q955" i="2"/>
  <c r="P955" i="2"/>
  <c r="O955" i="2"/>
  <c r="N955" i="2"/>
  <c r="M955" i="2"/>
  <c r="L955" i="2"/>
  <c r="K955" i="2"/>
  <c r="J955" i="2"/>
  <c r="Q953" i="2"/>
  <c r="P953" i="2"/>
  <c r="O953" i="2"/>
  <c r="N953" i="2"/>
  <c r="M953" i="2"/>
  <c r="L953" i="2"/>
  <c r="K953" i="2"/>
  <c r="J953" i="2"/>
  <c r="Q952" i="2"/>
  <c r="P952" i="2"/>
  <c r="O952" i="2"/>
  <c r="N952" i="2"/>
  <c r="M952" i="2"/>
  <c r="L952" i="2"/>
  <c r="K952" i="2"/>
  <c r="J952" i="2"/>
  <c r="Q951" i="2"/>
  <c r="P951" i="2"/>
  <c r="O951" i="2"/>
  <c r="N951" i="2"/>
  <c r="M951" i="2"/>
  <c r="L951" i="2"/>
  <c r="K951" i="2"/>
  <c r="J951" i="2"/>
  <c r="Q950" i="2"/>
  <c r="P950" i="2"/>
  <c r="O950" i="2"/>
  <c r="N950" i="2"/>
  <c r="M950" i="2"/>
  <c r="L950" i="2"/>
  <c r="K950" i="2"/>
  <c r="J950" i="2"/>
  <c r="Q949" i="2"/>
  <c r="P949" i="2"/>
  <c r="O949" i="2"/>
  <c r="N949" i="2"/>
  <c r="M949" i="2"/>
  <c r="L949" i="2"/>
  <c r="K949" i="2"/>
  <c r="J949" i="2"/>
  <c r="Q947" i="2"/>
  <c r="P947" i="2"/>
  <c r="O947" i="2"/>
  <c r="N947" i="2"/>
  <c r="M947" i="2"/>
  <c r="L947" i="2"/>
  <c r="K947" i="2"/>
  <c r="J947" i="2"/>
  <c r="Q946" i="2"/>
  <c r="P946" i="2"/>
  <c r="O946" i="2"/>
  <c r="N946" i="2"/>
  <c r="M946" i="2"/>
  <c r="L946" i="2"/>
  <c r="K946" i="2"/>
  <c r="J946" i="2"/>
  <c r="Q945" i="2"/>
  <c r="P945" i="2"/>
  <c r="O945" i="2"/>
  <c r="N945" i="2"/>
  <c r="M945" i="2"/>
  <c r="L945" i="2"/>
  <c r="K945" i="2"/>
  <c r="J945" i="2"/>
  <c r="Q944" i="2"/>
  <c r="P944" i="2"/>
  <c r="O944" i="2"/>
  <c r="N944" i="2"/>
  <c r="M944" i="2"/>
  <c r="L944" i="2"/>
  <c r="K944" i="2"/>
  <c r="J944" i="2"/>
  <c r="Q943" i="2"/>
  <c r="P943" i="2"/>
  <c r="O943" i="2"/>
  <c r="N943" i="2"/>
  <c r="M943" i="2"/>
  <c r="L943" i="2"/>
  <c r="K943" i="2"/>
  <c r="J943" i="2"/>
  <c r="Q938" i="2"/>
  <c r="P938" i="2"/>
  <c r="O938" i="2"/>
  <c r="N938" i="2"/>
  <c r="M938" i="2"/>
  <c r="L938" i="2"/>
  <c r="K938" i="2"/>
  <c r="J938" i="2"/>
  <c r="Q937" i="2"/>
  <c r="P937" i="2"/>
  <c r="O937" i="2"/>
  <c r="N937" i="2"/>
  <c r="M937" i="2"/>
  <c r="L937" i="2"/>
  <c r="K937" i="2"/>
  <c r="J937" i="2"/>
  <c r="Q936" i="2"/>
  <c r="P936" i="2"/>
  <c r="O936" i="2"/>
  <c r="N936" i="2"/>
  <c r="M936" i="2"/>
  <c r="L936" i="2"/>
  <c r="K936" i="2"/>
  <c r="J936" i="2"/>
  <c r="Q935" i="2"/>
  <c r="P935" i="2"/>
  <c r="O935" i="2"/>
  <c r="N935" i="2"/>
  <c r="M935" i="2"/>
  <c r="L935" i="2"/>
  <c r="K935" i="2"/>
  <c r="J935" i="2"/>
  <c r="Q934" i="2"/>
  <c r="P934" i="2"/>
  <c r="O934" i="2"/>
  <c r="N934" i="2"/>
  <c r="M934" i="2"/>
  <c r="L934" i="2"/>
  <c r="K934" i="2"/>
  <c r="J934" i="2"/>
  <c r="Q932" i="2"/>
  <c r="P932" i="2"/>
  <c r="O932" i="2"/>
  <c r="N932" i="2"/>
  <c r="M932" i="2"/>
  <c r="L932" i="2"/>
  <c r="K932" i="2"/>
  <c r="J932" i="2"/>
  <c r="Q931" i="2"/>
  <c r="P931" i="2"/>
  <c r="O931" i="2"/>
  <c r="N931" i="2"/>
  <c r="M931" i="2"/>
  <c r="L931" i="2"/>
  <c r="K931" i="2"/>
  <c r="J931" i="2"/>
  <c r="Q930" i="2"/>
  <c r="P930" i="2"/>
  <c r="O930" i="2"/>
  <c r="N930" i="2"/>
  <c r="M930" i="2"/>
  <c r="L930" i="2"/>
  <c r="K930" i="2"/>
  <c r="J930" i="2"/>
  <c r="Q929" i="2"/>
  <c r="P929" i="2"/>
  <c r="O929" i="2"/>
  <c r="N929" i="2"/>
  <c r="M929" i="2"/>
  <c r="L929" i="2"/>
  <c r="K929" i="2"/>
  <c r="J929" i="2"/>
  <c r="Q928" i="2"/>
  <c r="P928" i="2"/>
  <c r="O928" i="2"/>
  <c r="N928" i="2"/>
  <c r="M928" i="2"/>
  <c r="L928" i="2"/>
  <c r="K928" i="2"/>
  <c r="J928" i="2"/>
  <c r="Q922" i="2"/>
  <c r="P922" i="2"/>
  <c r="O922" i="2"/>
  <c r="N922" i="2"/>
  <c r="M922" i="2"/>
  <c r="L922" i="2"/>
  <c r="K922" i="2"/>
  <c r="J922" i="2"/>
  <c r="Q921" i="2"/>
  <c r="P921" i="2"/>
  <c r="O921" i="2"/>
  <c r="N921" i="2"/>
  <c r="M921" i="2"/>
  <c r="L921" i="2"/>
  <c r="K921" i="2"/>
  <c r="J921" i="2"/>
  <c r="Q920" i="2"/>
  <c r="P920" i="2"/>
  <c r="O920" i="2"/>
  <c r="N920" i="2"/>
  <c r="M920" i="2"/>
  <c r="L920" i="2"/>
  <c r="K920" i="2"/>
  <c r="J920" i="2"/>
  <c r="Q919" i="2"/>
  <c r="P919" i="2"/>
  <c r="O919" i="2"/>
  <c r="N919" i="2"/>
  <c r="M919" i="2"/>
  <c r="L919" i="2"/>
  <c r="K919" i="2"/>
  <c r="J919" i="2"/>
  <c r="Q917" i="2"/>
  <c r="P917" i="2"/>
  <c r="O917" i="2"/>
  <c r="N917" i="2"/>
  <c r="M917" i="2"/>
  <c r="L917" i="2"/>
  <c r="K917" i="2"/>
  <c r="J917" i="2"/>
  <c r="Q916" i="2"/>
  <c r="P916" i="2"/>
  <c r="O916" i="2"/>
  <c r="N916" i="2"/>
  <c r="M916" i="2"/>
  <c r="L916" i="2"/>
  <c r="K916" i="2"/>
  <c r="J916" i="2"/>
  <c r="Q915" i="2"/>
  <c r="P915" i="2"/>
  <c r="O915" i="2"/>
  <c r="N915" i="2"/>
  <c r="M915" i="2"/>
  <c r="L915" i="2"/>
  <c r="K915" i="2"/>
  <c r="J915" i="2"/>
  <c r="Q914" i="2"/>
  <c r="P914" i="2"/>
  <c r="O914" i="2"/>
  <c r="N914" i="2"/>
  <c r="M914" i="2"/>
  <c r="L914" i="2"/>
  <c r="K914" i="2"/>
  <c r="J914" i="2"/>
  <c r="Q913" i="2"/>
  <c r="P913" i="2"/>
  <c r="O913" i="2"/>
  <c r="N913" i="2"/>
  <c r="M913" i="2"/>
  <c r="L913" i="2"/>
  <c r="K913" i="2"/>
  <c r="J913" i="2"/>
  <c r="Q911" i="2"/>
  <c r="P911" i="2"/>
  <c r="O911" i="2"/>
  <c r="N911" i="2"/>
  <c r="M911" i="2"/>
  <c r="L911" i="2"/>
  <c r="K911" i="2"/>
  <c r="J911" i="2"/>
  <c r="Q910" i="2"/>
  <c r="P910" i="2"/>
  <c r="O910" i="2"/>
  <c r="N910" i="2"/>
  <c r="M910" i="2"/>
  <c r="L910" i="2"/>
  <c r="K910" i="2"/>
  <c r="J910" i="2"/>
  <c r="Q909" i="2"/>
  <c r="P909" i="2"/>
  <c r="O909" i="2"/>
  <c r="N909" i="2"/>
  <c r="M909" i="2"/>
  <c r="L909" i="2"/>
  <c r="K909" i="2"/>
  <c r="J909" i="2"/>
  <c r="Q908" i="2"/>
  <c r="P908" i="2"/>
  <c r="O908" i="2"/>
  <c r="N908" i="2"/>
  <c r="M908" i="2"/>
  <c r="L908" i="2"/>
  <c r="K908" i="2"/>
  <c r="J908" i="2"/>
  <c r="Q907" i="2"/>
  <c r="P907" i="2"/>
  <c r="O907" i="2"/>
  <c r="N907" i="2"/>
  <c r="M907" i="2"/>
  <c r="L907" i="2"/>
  <c r="K907" i="2"/>
  <c r="J907" i="2"/>
  <c r="Q902" i="2"/>
  <c r="P902" i="2"/>
  <c r="O902" i="2"/>
  <c r="N902" i="2"/>
  <c r="M902" i="2"/>
  <c r="L902" i="2"/>
  <c r="K902" i="2"/>
  <c r="J902" i="2"/>
  <c r="Q901" i="2"/>
  <c r="P901" i="2"/>
  <c r="O901" i="2"/>
  <c r="N901" i="2"/>
  <c r="M901" i="2"/>
  <c r="L901" i="2"/>
  <c r="K901" i="2"/>
  <c r="J901" i="2"/>
  <c r="Q900" i="2"/>
  <c r="P900" i="2"/>
  <c r="O900" i="2"/>
  <c r="N900" i="2"/>
  <c r="M900" i="2"/>
  <c r="L900" i="2"/>
  <c r="K900" i="2"/>
  <c r="J900" i="2"/>
  <c r="Q899" i="2"/>
  <c r="P899" i="2"/>
  <c r="O899" i="2"/>
  <c r="N899" i="2"/>
  <c r="M899" i="2"/>
  <c r="L899" i="2"/>
  <c r="K899" i="2"/>
  <c r="J899" i="2"/>
  <c r="Q898" i="2"/>
  <c r="P898" i="2"/>
  <c r="O898" i="2"/>
  <c r="N898" i="2"/>
  <c r="M898" i="2"/>
  <c r="L898" i="2"/>
  <c r="K898" i="2"/>
  <c r="J898" i="2"/>
  <c r="Q897" i="2"/>
  <c r="P897" i="2"/>
  <c r="O897" i="2"/>
  <c r="N897" i="2"/>
  <c r="M897" i="2"/>
  <c r="L897" i="2"/>
  <c r="K897" i="2"/>
  <c r="J897" i="2"/>
  <c r="Q896" i="2"/>
  <c r="P896" i="2"/>
  <c r="O896" i="2"/>
  <c r="N896" i="2"/>
  <c r="M896" i="2"/>
  <c r="L896" i="2"/>
  <c r="K896" i="2"/>
  <c r="J896" i="2"/>
  <c r="Q894" i="2"/>
  <c r="P894" i="2"/>
  <c r="O894" i="2"/>
  <c r="N894" i="2"/>
  <c r="M894" i="2"/>
  <c r="L894" i="2"/>
  <c r="K894" i="2"/>
  <c r="J894" i="2"/>
  <c r="Q893" i="2"/>
  <c r="P893" i="2"/>
  <c r="O893" i="2"/>
  <c r="N893" i="2"/>
  <c r="M893" i="2"/>
  <c r="L893" i="2"/>
  <c r="K893" i="2"/>
  <c r="J893" i="2"/>
  <c r="Q892" i="2"/>
  <c r="P892" i="2"/>
  <c r="O892" i="2"/>
  <c r="N892" i="2"/>
  <c r="M892" i="2"/>
  <c r="L892" i="2"/>
  <c r="K892" i="2"/>
  <c r="J892" i="2"/>
  <c r="Q891" i="2"/>
  <c r="P891" i="2"/>
  <c r="O891" i="2"/>
  <c r="N891" i="2"/>
  <c r="M891" i="2"/>
  <c r="L891" i="2"/>
  <c r="K891" i="2"/>
  <c r="J891" i="2"/>
  <c r="Q889" i="2"/>
  <c r="P889" i="2"/>
  <c r="O889" i="2"/>
  <c r="N889" i="2"/>
  <c r="M889" i="2"/>
  <c r="L889" i="2"/>
  <c r="K889" i="2"/>
  <c r="J889" i="2"/>
  <c r="Q888" i="2"/>
  <c r="P888" i="2"/>
  <c r="O888" i="2"/>
  <c r="N888" i="2"/>
  <c r="M888" i="2"/>
  <c r="L888" i="2"/>
  <c r="K888" i="2"/>
  <c r="J888" i="2"/>
  <c r="Q887" i="2"/>
  <c r="P887" i="2"/>
  <c r="O887" i="2"/>
  <c r="N887" i="2"/>
  <c r="M887" i="2"/>
  <c r="L887" i="2"/>
  <c r="K887" i="2"/>
  <c r="J887" i="2"/>
  <c r="Q886" i="2"/>
  <c r="P886" i="2"/>
  <c r="O886" i="2"/>
  <c r="N886" i="2"/>
  <c r="M886" i="2"/>
  <c r="L886" i="2"/>
  <c r="K886" i="2"/>
  <c r="J886" i="2"/>
  <c r="Q885" i="2"/>
  <c r="P885" i="2"/>
  <c r="O885" i="2"/>
  <c r="N885" i="2"/>
  <c r="M885" i="2"/>
  <c r="L885" i="2"/>
  <c r="K885" i="2"/>
  <c r="J885" i="2"/>
  <c r="Q884" i="2"/>
  <c r="P884" i="2"/>
  <c r="O884" i="2"/>
  <c r="N884" i="2"/>
  <c r="M884" i="2"/>
  <c r="L884" i="2"/>
  <c r="K884" i="2"/>
  <c r="J884" i="2"/>
  <c r="Q883" i="2"/>
  <c r="P883" i="2"/>
  <c r="O883" i="2"/>
  <c r="N883" i="2"/>
  <c r="M883" i="2"/>
  <c r="L883" i="2"/>
  <c r="K883" i="2"/>
  <c r="J883" i="2"/>
  <c r="Q882" i="2"/>
  <c r="P882" i="2"/>
  <c r="O882" i="2"/>
  <c r="N882" i="2"/>
  <c r="M882" i="2"/>
  <c r="L882" i="2"/>
  <c r="K882" i="2"/>
  <c r="J882" i="2"/>
  <c r="Q877" i="2"/>
  <c r="P877" i="2"/>
  <c r="O877" i="2"/>
  <c r="N877" i="2"/>
  <c r="M877" i="2"/>
  <c r="L877" i="2"/>
  <c r="K877" i="2"/>
  <c r="J877" i="2"/>
  <c r="Q876" i="2"/>
  <c r="P876" i="2"/>
  <c r="O876" i="2"/>
  <c r="N876" i="2"/>
  <c r="M876" i="2"/>
  <c r="L876" i="2"/>
  <c r="K876" i="2"/>
  <c r="J876" i="2"/>
  <c r="Q875" i="2"/>
  <c r="P875" i="2"/>
  <c r="O875" i="2"/>
  <c r="N875" i="2"/>
  <c r="M875" i="2"/>
  <c r="L875" i="2"/>
  <c r="K875" i="2"/>
  <c r="J875" i="2"/>
  <c r="Q874" i="2"/>
  <c r="P874" i="2"/>
  <c r="O874" i="2"/>
  <c r="N874" i="2"/>
  <c r="M874" i="2"/>
  <c r="L874" i="2"/>
  <c r="K874" i="2"/>
  <c r="J874" i="2"/>
  <c r="Q873" i="2"/>
  <c r="P873" i="2"/>
  <c r="O873" i="2"/>
  <c r="N873" i="2"/>
  <c r="M873" i="2"/>
  <c r="L873" i="2"/>
  <c r="K873" i="2"/>
  <c r="J873" i="2"/>
  <c r="Q867" i="2"/>
  <c r="P867" i="2"/>
  <c r="O867" i="2"/>
  <c r="N867" i="2"/>
  <c r="M867" i="2"/>
  <c r="L867" i="2"/>
  <c r="K867" i="2"/>
  <c r="J867" i="2"/>
  <c r="Q866" i="2"/>
  <c r="P866" i="2"/>
  <c r="O866" i="2"/>
  <c r="N866" i="2"/>
  <c r="M866" i="2"/>
  <c r="L866" i="2"/>
  <c r="K866" i="2"/>
  <c r="J866" i="2"/>
  <c r="Q865" i="2"/>
  <c r="P865" i="2"/>
  <c r="O865" i="2"/>
  <c r="N865" i="2"/>
  <c r="M865" i="2"/>
  <c r="L865" i="2"/>
  <c r="K865" i="2"/>
  <c r="J865" i="2"/>
  <c r="Q864" i="2"/>
  <c r="P864" i="2"/>
  <c r="O864" i="2"/>
  <c r="N864" i="2"/>
  <c r="M864" i="2"/>
  <c r="L864" i="2"/>
  <c r="K864" i="2"/>
  <c r="J864" i="2"/>
  <c r="Q863" i="2"/>
  <c r="P863" i="2"/>
  <c r="O863" i="2"/>
  <c r="N863" i="2"/>
  <c r="M863" i="2"/>
  <c r="L863" i="2"/>
  <c r="K863" i="2"/>
  <c r="J863" i="2"/>
  <c r="Q862" i="2"/>
  <c r="P862" i="2"/>
  <c r="O862" i="2"/>
  <c r="N862" i="2"/>
  <c r="M862" i="2"/>
  <c r="L862" i="2"/>
  <c r="K862" i="2"/>
  <c r="J862" i="2"/>
  <c r="Q861" i="2"/>
  <c r="P861" i="2"/>
  <c r="O861" i="2"/>
  <c r="N861" i="2"/>
  <c r="M861" i="2"/>
  <c r="L861" i="2"/>
  <c r="K861" i="2"/>
  <c r="J861" i="2"/>
  <c r="Q859" i="2"/>
  <c r="P859" i="2"/>
  <c r="O859" i="2"/>
  <c r="N859" i="2"/>
  <c r="M859" i="2"/>
  <c r="L859" i="2"/>
  <c r="K859" i="2"/>
  <c r="J859" i="2"/>
  <c r="Q858" i="2"/>
  <c r="P858" i="2"/>
  <c r="O858" i="2"/>
  <c r="N858" i="2"/>
  <c r="M858" i="2"/>
  <c r="L858" i="2"/>
  <c r="K858" i="2"/>
  <c r="J858" i="2"/>
  <c r="Q857" i="2"/>
  <c r="P857" i="2"/>
  <c r="O857" i="2"/>
  <c r="N857" i="2"/>
  <c r="M857" i="2"/>
  <c r="L857" i="2"/>
  <c r="K857" i="2"/>
  <c r="J857" i="2"/>
  <c r="Q856" i="2"/>
  <c r="P856" i="2"/>
  <c r="O856" i="2"/>
  <c r="N856" i="2"/>
  <c r="M856" i="2"/>
  <c r="L856" i="2"/>
  <c r="K856" i="2"/>
  <c r="J856" i="2"/>
  <c r="Q854" i="2"/>
  <c r="P854" i="2"/>
  <c r="O854" i="2"/>
  <c r="N854" i="2"/>
  <c r="M854" i="2"/>
  <c r="L854" i="2"/>
  <c r="K854" i="2"/>
  <c r="J854" i="2"/>
  <c r="Q853" i="2"/>
  <c r="P853" i="2"/>
  <c r="O853" i="2"/>
  <c r="N853" i="2"/>
  <c r="M853" i="2"/>
  <c r="L853" i="2"/>
  <c r="K853" i="2"/>
  <c r="J853" i="2"/>
  <c r="Q852" i="2"/>
  <c r="P852" i="2"/>
  <c r="O852" i="2"/>
  <c r="N852" i="2"/>
  <c r="M852" i="2"/>
  <c r="L852" i="2"/>
  <c r="K852" i="2"/>
  <c r="J852" i="2"/>
  <c r="Q851" i="2"/>
  <c r="P851" i="2"/>
  <c r="O851" i="2"/>
  <c r="N851" i="2"/>
  <c r="M851" i="2"/>
  <c r="L851" i="2"/>
  <c r="K851" i="2"/>
  <c r="J851" i="2"/>
  <c r="Q850" i="2"/>
  <c r="P850" i="2"/>
  <c r="O850" i="2"/>
  <c r="N850" i="2"/>
  <c r="M850" i="2"/>
  <c r="L850" i="2"/>
  <c r="K850" i="2"/>
  <c r="J850" i="2"/>
  <c r="Q849" i="2"/>
  <c r="P849" i="2"/>
  <c r="O849" i="2"/>
  <c r="N849" i="2"/>
  <c r="M849" i="2"/>
  <c r="L849" i="2"/>
  <c r="K849" i="2"/>
  <c r="J849" i="2"/>
  <c r="Q848" i="2"/>
  <c r="P848" i="2"/>
  <c r="O848" i="2"/>
  <c r="N848" i="2"/>
  <c r="M848" i="2"/>
  <c r="L848" i="2"/>
  <c r="K848" i="2"/>
  <c r="J848" i="2"/>
  <c r="Q847" i="2"/>
  <c r="P847" i="2"/>
  <c r="O847" i="2"/>
  <c r="N847" i="2"/>
  <c r="M847" i="2"/>
  <c r="L847" i="2"/>
  <c r="K847" i="2"/>
  <c r="J847" i="2"/>
  <c r="Q841" i="2"/>
  <c r="P841" i="2"/>
  <c r="O841" i="2"/>
  <c r="N841" i="2"/>
  <c r="M841" i="2"/>
  <c r="L841" i="2"/>
  <c r="K841" i="2"/>
  <c r="J841" i="2"/>
  <c r="Q840" i="2"/>
  <c r="P840" i="2"/>
  <c r="O840" i="2"/>
  <c r="N840" i="2"/>
  <c r="M840" i="2"/>
  <c r="L840" i="2"/>
  <c r="K840" i="2"/>
  <c r="J840" i="2"/>
  <c r="Q838" i="2"/>
  <c r="P838" i="2"/>
  <c r="O838" i="2"/>
  <c r="N838" i="2"/>
  <c r="M838" i="2"/>
  <c r="L838" i="2"/>
  <c r="K838" i="2"/>
  <c r="J838" i="2"/>
  <c r="Q837" i="2"/>
  <c r="P837" i="2"/>
  <c r="O837" i="2"/>
  <c r="N837" i="2"/>
  <c r="M837" i="2"/>
  <c r="L837" i="2"/>
  <c r="K837" i="2"/>
  <c r="J837" i="2"/>
  <c r="Q836" i="2"/>
  <c r="P836" i="2"/>
  <c r="O836" i="2"/>
  <c r="N836" i="2"/>
  <c r="M836" i="2"/>
  <c r="L836" i="2"/>
  <c r="K836" i="2"/>
  <c r="J836" i="2"/>
  <c r="Q835" i="2"/>
  <c r="P835" i="2"/>
  <c r="O835" i="2"/>
  <c r="N835" i="2"/>
  <c r="M835" i="2"/>
  <c r="L835" i="2"/>
  <c r="K835" i="2"/>
  <c r="J835" i="2"/>
  <c r="Q834" i="2"/>
  <c r="P834" i="2"/>
  <c r="O834" i="2"/>
  <c r="N834" i="2"/>
  <c r="M834" i="2"/>
  <c r="L834" i="2"/>
  <c r="K834" i="2"/>
  <c r="J834" i="2"/>
  <c r="Q833" i="2"/>
  <c r="P833" i="2"/>
  <c r="O833" i="2"/>
  <c r="N833" i="2"/>
  <c r="M833" i="2"/>
  <c r="L833" i="2"/>
  <c r="K833" i="2"/>
  <c r="J833" i="2"/>
  <c r="Q832" i="2"/>
  <c r="P832" i="2"/>
  <c r="O832" i="2"/>
  <c r="N832" i="2"/>
  <c r="M832" i="2"/>
  <c r="L832" i="2"/>
  <c r="K832" i="2"/>
  <c r="J832" i="2"/>
  <c r="Q831" i="2"/>
  <c r="P831" i="2"/>
  <c r="O831" i="2"/>
  <c r="N831" i="2"/>
  <c r="M831" i="2"/>
  <c r="L831" i="2"/>
  <c r="K831" i="2"/>
  <c r="J831" i="2"/>
  <c r="Q825" i="2"/>
  <c r="P825" i="2"/>
  <c r="O825" i="2"/>
  <c r="N825" i="2"/>
  <c r="M825" i="2"/>
  <c r="L825" i="2"/>
  <c r="K825" i="2"/>
  <c r="J825" i="2"/>
  <c r="Q824" i="2"/>
  <c r="P824" i="2"/>
  <c r="O824" i="2"/>
  <c r="N824" i="2"/>
  <c r="M824" i="2"/>
  <c r="L824" i="2"/>
  <c r="K824" i="2"/>
  <c r="J824" i="2"/>
  <c r="Q822" i="2"/>
  <c r="P822" i="2"/>
  <c r="O822" i="2"/>
  <c r="N822" i="2"/>
  <c r="M822" i="2"/>
  <c r="L822" i="2"/>
  <c r="K822" i="2"/>
  <c r="J822" i="2"/>
  <c r="Q821" i="2"/>
  <c r="P821" i="2"/>
  <c r="O821" i="2"/>
  <c r="N821" i="2"/>
  <c r="M821" i="2"/>
  <c r="L821" i="2"/>
  <c r="K821" i="2"/>
  <c r="J821" i="2"/>
  <c r="Q820" i="2"/>
  <c r="P820" i="2"/>
  <c r="O820" i="2"/>
  <c r="N820" i="2"/>
  <c r="M820" i="2"/>
  <c r="L820" i="2"/>
  <c r="K820" i="2"/>
  <c r="J820" i="2"/>
  <c r="Q819" i="2"/>
  <c r="P819" i="2"/>
  <c r="O819" i="2"/>
  <c r="N819" i="2"/>
  <c r="M819" i="2"/>
  <c r="L819" i="2"/>
  <c r="K819" i="2"/>
  <c r="J819" i="2"/>
  <c r="Q818" i="2"/>
  <c r="P818" i="2"/>
  <c r="O818" i="2"/>
  <c r="N818" i="2"/>
  <c r="M818" i="2"/>
  <c r="L818" i="2"/>
  <c r="K818" i="2"/>
  <c r="J818" i="2"/>
  <c r="Q813" i="2"/>
  <c r="P813" i="2"/>
  <c r="O813" i="2"/>
  <c r="N813" i="2"/>
  <c r="M813" i="2"/>
  <c r="L813" i="2"/>
  <c r="K813" i="2"/>
  <c r="J813" i="2"/>
  <c r="Q812" i="2"/>
  <c r="P812" i="2"/>
  <c r="O812" i="2"/>
  <c r="N812" i="2"/>
  <c r="M812" i="2"/>
  <c r="L812" i="2"/>
  <c r="K812" i="2"/>
  <c r="J812" i="2"/>
  <c r="Q811" i="2"/>
  <c r="P811" i="2"/>
  <c r="O811" i="2"/>
  <c r="N811" i="2"/>
  <c r="M811" i="2"/>
  <c r="L811" i="2"/>
  <c r="K811" i="2"/>
  <c r="J811" i="2"/>
  <c r="Q810" i="2"/>
  <c r="P810" i="2"/>
  <c r="O810" i="2"/>
  <c r="N810" i="2"/>
  <c r="M810" i="2"/>
  <c r="L810" i="2"/>
  <c r="K810" i="2"/>
  <c r="J810" i="2"/>
  <c r="Q809" i="2"/>
  <c r="P809" i="2"/>
  <c r="O809" i="2"/>
  <c r="N809" i="2"/>
  <c r="M809" i="2"/>
  <c r="L809" i="2"/>
  <c r="K809" i="2"/>
  <c r="J809" i="2"/>
  <c r="Q804" i="2"/>
  <c r="P804" i="2"/>
  <c r="O804" i="2"/>
  <c r="N804" i="2"/>
  <c r="M804" i="2"/>
  <c r="L804" i="2"/>
  <c r="K804" i="2"/>
  <c r="J804" i="2"/>
  <c r="Q803" i="2"/>
  <c r="P803" i="2"/>
  <c r="O803" i="2"/>
  <c r="N803" i="2"/>
  <c r="M803" i="2"/>
  <c r="L803" i="2"/>
  <c r="K803" i="2"/>
  <c r="J803" i="2"/>
  <c r="Q802" i="2"/>
  <c r="P802" i="2"/>
  <c r="O802" i="2"/>
  <c r="N802" i="2"/>
  <c r="M802" i="2"/>
  <c r="L802" i="2"/>
  <c r="K802" i="2"/>
  <c r="J802" i="2"/>
  <c r="Q801" i="2"/>
  <c r="P801" i="2"/>
  <c r="O801" i="2"/>
  <c r="N801" i="2"/>
  <c r="M801" i="2"/>
  <c r="L801" i="2"/>
  <c r="K801" i="2"/>
  <c r="J801" i="2"/>
  <c r="Q800" i="2"/>
  <c r="P800" i="2"/>
  <c r="O800" i="2"/>
  <c r="N800" i="2"/>
  <c r="M800" i="2"/>
  <c r="L800" i="2"/>
  <c r="K800" i="2"/>
  <c r="J800" i="2"/>
  <c r="Q799" i="2"/>
  <c r="P799" i="2"/>
  <c r="O799" i="2"/>
  <c r="N799" i="2"/>
  <c r="M799" i="2"/>
  <c r="L799" i="2"/>
  <c r="K799" i="2"/>
  <c r="J799" i="2"/>
  <c r="Q798" i="2"/>
  <c r="P798" i="2"/>
  <c r="O798" i="2"/>
  <c r="N798" i="2"/>
  <c r="M798" i="2"/>
  <c r="L798" i="2"/>
  <c r="K798" i="2"/>
  <c r="J798" i="2"/>
  <c r="Q792" i="2"/>
  <c r="P792" i="2"/>
  <c r="O792" i="2"/>
  <c r="N792" i="2"/>
  <c r="M792" i="2"/>
  <c r="L792" i="2"/>
  <c r="K792" i="2"/>
  <c r="J792" i="2"/>
  <c r="Q791" i="2"/>
  <c r="P791" i="2"/>
  <c r="O791" i="2"/>
  <c r="N791" i="2"/>
  <c r="M791" i="2"/>
  <c r="L791" i="2"/>
  <c r="K791" i="2"/>
  <c r="J791" i="2"/>
  <c r="Q790" i="2"/>
  <c r="P790" i="2"/>
  <c r="O790" i="2"/>
  <c r="N790" i="2"/>
  <c r="M790" i="2"/>
  <c r="L790" i="2"/>
  <c r="K790" i="2"/>
  <c r="J790" i="2"/>
  <c r="Q789" i="2"/>
  <c r="P789" i="2"/>
  <c r="O789" i="2"/>
  <c r="N789" i="2"/>
  <c r="M789" i="2"/>
  <c r="L789" i="2"/>
  <c r="K789" i="2"/>
  <c r="J789" i="2"/>
  <c r="Q788" i="2"/>
  <c r="P788" i="2"/>
  <c r="O788" i="2"/>
  <c r="N788" i="2"/>
  <c r="M788" i="2"/>
  <c r="L788" i="2"/>
  <c r="K788" i="2"/>
  <c r="J788" i="2"/>
  <c r="Q786" i="2"/>
  <c r="P786" i="2"/>
  <c r="O786" i="2"/>
  <c r="N786" i="2"/>
  <c r="M786" i="2"/>
  <c r="L786" i="2"/>
  <c r="K786" i="2"/>
  <c r="J786" i="2"/>
  <c r="Q785" i="2"/>
  <c r="P785" i="2"/>
  <c r="O785" i="2"/>
  <c r="N785" i="2"/>
  <c r="M785" i="2"/>
  <c r="L785" i="2"/>
  <c r="K785" i="2"/>
  <c r="J785" i="2"/>
  <c r="Q784" i="2"/>
  <c r="P784" i="2"/>
  <c r="O784" i="2"/>
  <c r="N784" i="2"/>
  <c r="M784" i="2"/>
  <c r="L784" i="2"/>
  <c r="K784" i="2"/>
  <c r="J784" i="2"/>
  <c r="Q783" i="2"/>
  <c r="P783" i="2"/>
  <c r="O783" i="2"/>
  <c r="N783" i="2"/>
  <c r="M783" i="2"/>
  <c r="L783" i="2"/>
  <c r="K783" i="2"/>
  <c r="J783" i="2"/>
  <c r="Q781" i="2"/>
  <c r="P781" i="2"/>
  <c r="O781" i="2"/>
  <c r="N781" i="2"/>
  <c r="M781" i="2"/>
  <c r="L781" i="2"/>
  <c r="K781" i="2"/>
  <c r="J781" i="2"/>
  <c r="Q780" i="2"/>
  <c r="P780" i="2"/>
  <c r="O780" i="2"/>
  <c r="N780" i="2"/>
  <c r="M780" i="2"/>
  <c r="L780" i="2"/>
  <c r="K780" i="2"/>
  <c r="J780" i="2"/>
  <c r="Q779" i="2"/>
  <c r="P779" i="2"/>
  <c r="O779" i="2"/>
  <c r="N779" i="2"/>
  <c r="M779" i="2"/>
  <c r="L779" i="2"/>
  <c r="K779" i="2"/>
  <c r="J779" i="2"/>
  <c r="Q778" i="2"/>
  <c r="P778" i="2"/>
  <c r="O778" i="2"/>
  <c r="N778" i="2"/>
  <c r="M778" i="2"/>
  <c r="L778" i="2"/>
  <c r="K778" i="2"/>
  <c r="J778" i="2"/>
  <c r="Q777" i="2"/>
  <c r="P777" i="2"/>
  <c r="O777" i="2"/>
  <c r="N777" i="2"/>
  <c r="M777" i="2"/>
  <c r="L777" i="2"/>
  <c r="K777" i="2"/>
  <c r="J777" i="2"/>
  <c r="Q774" i="2"/>
  <c r="P774" i="2"/>
  <c r="O774" i="2"/>
  <c r="N774" i="2"/>
  <c r="M774" i="2"/>
  <c r="L774" i="2"/>
  <c r="K774" i="2"/>
  <c r="J774" i="2"/>
  <c r="Q773" i="2"/>
  <c r="P773" i="2"/>
  <c r="O773" i="2"/>
  <c r="N773" i="2"/>
  <c r="M773" i="2"/>
  <c r="L773" i="2"/>
  <c r="K773" i="2"/>
  <c r="J773" i="2"/>
  <c r="Q772" i="2"/>
  <c r="P772" i="2"/>
  <c r="O772" i="2"/>
  <c r="N772" i="2"/>
  <c r="M772" i="2"/>
  <c r="L772" i="2"/>
  <c r="K772" i="2"/>
  <c r="J772" i="2"/>
  <c r="Q771" i="2"/>
  <c r="P771" i="2"/>
  <c r="O771" i="2"/>
  <c r="N771" i="2"/>
  <c r="M771" i="2"/>
  <c r="L771" i="2"/>
  <c r="K771" i="2"/>
  <c r="J771" i="2"/>
  <c r="Q770" i="2"/>
  <c r="P770" i="2"/>
  <c r="O770" i="2"/>
  <c r="N770" i="2"/>
  <c r="M770" i="2"/>
  <c r="L770" i="2"/>
  <c r="K770" i="2"/>
  <c r="J770" i="2"/>
  <c r="Q768" i="2"/>
  <c r="P768" i="2"/>
  <c r="O768" i="2"/>
  <c r="N768" i="2"/>
  <c r="M768" i="2"/>
  <c r="L768" i="2"/>
  <c r="K768" i="2"/>
  <c r="J768" i="2"/>
  <c r="Q767" i="2"/>
  <c r="P767" i="2"/>
  <c r="O767" i="2"/>
  <c r="N767" i="2"/>
  <c r="M767" i="2"/>
  <c r="L767" i="2"/>
  <c r="K767" i="2"/>
  <c r="J767" i="2"/>
  <c r="Q766" i="2"/>
  <c r="P766" i="2"/>
  <c r="O766" i="2"/>
  <c r="N766" i="2"/>
  <c r="M766" i="2"/>
  <c r="L766" i="2"/>
  <c r="K766" i="2"/>
  <c r="J766" i="2"/>
  <c r="Q765" i="2"/>
  <c r="P765" i="2"/>
  <c r="O765" i="2"/>
  <c r="N765" i="2"/>
  <c r="M765" i="2"/>
  <c r="L765" i="2"/>
  <c r="K765" i="2"/>
  <c r="J765" i="2"/>
  <c r="Q764" i="2"/>
  <c r="P764" i="2"/>
  <c r="O764" i="2"/>
  <c r="N764" i="2"/>
  <c r="M764" i="2"/>
  <c r="L764" i="2"/>
  <c r="K764" i="2"/>
  <c r="J764" i="2"/>
  <c r="Q762" i="2"/>
  <c r="P762" i="2"/>
  <c r="O762" i="2"/>
  <c r="N762" i="2"/>
  <c r="M762" i="2"/>
  <c r="L762" i="2"/>
  <c r="K762" i="2"/>
  <c r="J762" i="2"/>
  <c r="Q761" i="2"/>
  <c r="P761" i="2"/>
  <c r="O761" i="2"/>
  <c r="N761" i="2"/>
  <c r="M761" i="2"/>
  <c r="L761" i="2"/>
  <c r="K761" i="2"/>
  <c r="J761" i="2"/>
  <c r="Q760" i="2"/>
  <c r="P760" i="2"/>
  <c r="O760" i="2"/>
  <c r="N760" i="2"/>
  <c r="M760" i="2"/>
  <c r="L760" i="2"/>
  <c r="K760" i="2"/>
  <c r="J760" i="2"/>
  <c r="Q759" i="2"/>
  <c r="P759" i="2"/>
  <c r="O759" i="2"/>
  <c r="N759" i="2"/>
  <c r="M759" i="2"/>
  <c r="L759" i="2"/>
  <c r="K759" i="2"/>
  <c r="J759" i="2"/>
  <c r="Q757" i="2"/>
  <c r="P757" i="2"/>
  <c r="O757" i="2"/>
  <c r="N757" i="2"/>
  <c r="M757" i="2"/>
  <c r="L757" i="2"/>
  <c r="K757" i="2"/>
  <c r="J757" i="2"/>
  <c r="Q756" i="2"/>
  <c r="P756" i="2"/>
  <c r="O756" i="2"/>
  <c r="N756" i="2"/>
  <c r="M756" i="2"/>
  <c r="L756" i="2"/>
  <c r="K756" i="2"/>
  <c r="J756" i="2"/>
  <c r="Q755" i="2"/>
  <c r="P755" i="2"/>
  <c r="O755" i="2"/>
  <c r="N755" i="2"/>
  <c r="M755" i="2"/>
  <c r="L755" i="2"/>
  <c r="K755" i="2"/>
  <c r="J755" i="2"/>
  <c r="Q754" i="2"/>
  <c r="P754" i="2"/>
  <c r="O754" i="2"/>
  <c r="N754" i="2"/>
  <c r="M754" i="2"/>
  <c r="L754" i="2"/>
  <c r="K754" i="2"/>
  <c r="J754" i="2"/>
  <c r="Q753" i="2"/>
  <c r="P753" i="2"/>
  <c r="O753" i="2"/>
  <c r="N753" i="2"/>
  <c r="M753" i="2"/>
  <c r="L753" i="2"/>
  <c r="K753" i="2"/>
  <c r="J753" i="2"/>
  <c r="Q752" i="2"/>
  <c r="P752" i="2"/>
  <c r="O752" i="2"/>
  <c r="N752" i="2"/>
  <c r="M752" i="2"/>
  <c r="L752" i="2"/>
  <c r="K752" i="2"/>
  <c r="J752" i="2"/>
  <c r="Q751" i="2"/>
  <c r="P751" i="2"/>
  <c r="O751" i="2"/>
  <c r="N751" i="2"/>
  <c r="M751" i="2"/>
  <c r="L751" i="2"/>
  <c r="K751" i="2"/>
  <c r="J751" i="2"/>
  <c r="Q744" i="2"/>
  <c r="P744" i="2"/>
  <c r="O744" i="2"/>
  <c r="N744" i="2"/>
  <c r="M744" i="2"/>
  <c r="L744" i="2"/>
  <c r="K744" i="2"/>
  <c r="J744" i="2"/>
  <c r="Q743" i="2"/>
  <c r="P743" i="2"/>
  <c r="O743" i="2"/>
  <c r="N743" i="2"/>
  <c r="M743" i="2"/>
  <c r="L743" i="2"/>
  <c r="K743" i="2"/>
  <c r="J743" i="2"/>
  <c r="Q741" i="2"/>
  <c r="P741" i="2"/>
  <c r="O741" i="2"/>
  <c r="N741" i="2"/>
  <c r="M741" i="2"/>
  <c r="L741" i="2"/>
  <c r="K741" i="2"/>
  <c r="J741" i="2"/>
  <c r="Q740" i="2"/>
  <c r="P740" i="2"/>
  <c r="O740" i="2"/>
  <c r="N740" i="2"/>
  <c r="M740" i="2"/>
  <c r="L740" i="2"/>
  <c r="K740" i="2"/>
  <c r="J740" i="2"/>
  <c r="Q731" i="2"/>
  <c r="P731" i="2"/>
  <c r="O731" i="2"/>
  <c r="N731" i="2"/>
  <c r="M731" i="2"/>
  <c r="L731" i="2"/>
  <c r="K731" i="2"/>
  <c r="J731" i="2"/>
  <c r="Q730" i="2"/>
  <c r="P730" i="2"/>
  <c r="O730" i="2"/>
  <c r="N730" i="2"/>
  <c r="M730" i="2"/>
  <c r="L730" i="2"/>
  <c r="K730" i="2"/>
  <c r="J730" i="2"/>
  <c r="Q729" i="2"/>
  <c r="P729" i="2"/>
  <c r="O729" i="2"/>
  <c r="N729" i="2"/>
  <c r="M729" i="2"/>
  <c r="L729" i="2"/>
  <c r="K729" i="2"/>
  <c r="J729" i="2"/>
  <c r="Q728" i="2"/>
  <c r="P728" i="2"/>
  <c r="O728" i="2"/>
  <c r="N728" i="2"/>
  <c r="M728" i="2"/>
  <c r="L728" i="2"/>
  <c r="K728" i="2"/>
  <c r="J728" i="2"/>
  <c r="K722" i="2"/>
  <c r="K721" i="2"/>
  <c r="K720" i="2"/>
  <c r="K718" i="2"/>
  <c r="K717" i="2"/>
  <c r="K715" i="2"/>
  <c r="K714" i="2"/>
  <c r="K713" i="2"/>
  <c r="Q711" i="2"/>
  <c r="P711" i="2"/>
  <c r="O711" i="2"/>
  <c r="N711" i="2"/>
  <c r="M711" i="2"/>
  <c r="L711" i="2"/>
  <c r="K711" i="2"/>
  <c r="J711" i="2"/>
  <c r="Q710" i="2"/>
  <c r="P710" i="2"/>
  <c r="O710" i="2"/>
  <c r="N710" i="2"/>
  <c r="M710" i="2"/>
  <c r="L710" i="2"/>
  <c r="K710" i="2"/>
  <c r="J710" i="2"/>
  <c r="Q709" i="2"/>
  <c r="P709" i="2"/>
  <c r="O709" i="2"/>
  <c r="N709" i="2"/>
  <c r="M709" i="2"/>
  <c r="L709" i="2"/>
  <c r="K709" i="2"/>
  <c r="J709" i="2"/>
  <c r="Q708" i="2"/>
  <c r="P708" i="2"/>
  <c r="O708" i="2"/>
  <c r="N708" i="2"/>
  <c r="M708" i="2"/>
  <c r="L708" i="2"/>
  <c r="K708" i="2"/>
  <c r="J708" i="2"/>
  <c r="Q707" i="2"/>
  <c r="P707" i="2"/>
  <c r="O707" i="2"/>
  <c r="N707" i="2"/>
  <c r="M707" i="2"/>
  <c r="L707" i="2"/>
  <c r="K707" i="2"/>
  <c r="J707" i="2"/>
  <c r="Q705" i="2"/>
  <c r="P705" i="2"/>
  <c r="O705" i="2"/>
  <c r="N705" i="2"/>
  <c r="M705" i="2"/>
  <c r="L705" i="2"/>
  <c r="K705" i="2"/>
  <c r="J705" i="2"/>
  <c r="Q704" i="2"/>
  <c r="P704" i="2"/>
  <c r="O704" i="2"/>
  <c r="N704" i="2"/>
  <c r="M704" i="2"/>
  <c r="L704" i="2"/>
  <c r="K704" i="2"/>
  <c r="J704" i="2"/>
  <c r="Q703" i="2"/>
  <c r="P703" i="2"/>
  <c r="O703" i="2"/>
  <c r="N703" i="2"/>
  <c r="M703" i="2"/>
  <c r="L703" i="2"/>
  <c r="K703" i="2"/>
  <c r="J703" i="2"/>
  <c r="Q702" i="2"/>
  <c r="P702" i="2"/>
  <c r="O702" i="2"/>
  <c r="N702" i="2"/>
  <c r="M702" i="2"/>
  <c r="L702" i="2"/>
  <c r="K702" i="2"/>
  <c r="J702" i="2"/>
  <c r="Q701" i="2"/>
  <c r="P701" i="2"/>
  <c r="O701" i="2"/>
  <c r="N701" i="2"/>
  <c r="M701" i="2"/>
  <c r="L701" i="2"/>
  <c r="K701" i="2"/>
  <c r="J701" i="2"/>
  <c r="Q699" i="2"/>
  <c r="P699" i="2"/>
  <c r="O699" i="2"/>
  <c r="N699" i="2"/>
  <c r="M699" i="2"/>
  <c r="L699" i="2"/>
  <c r="K699" i="2"/>
  <c r="J699" i="2"/>
  <c r="Q698" i="2"/>
  <c r="P698" i="2"/>
  <c r="O698" i="2"/>
  <c r="N698" i="2"/>
  <c r="M698" i="2"/>
  <c r="L698" i="2"/>
  <c r="K698" i="2"/>
  <c r="J698" i="2"/>
  <c r="Q697" i="2"/>
  <c r="P697" i="2"/>
  <c r="O697" i="2"/>
  <c r="N697" i="2"/>
  <c r="M697" i="2"/>
  <c r="L697" i="2"/>
  <c r="K697" i="2"/>
  <c r="J697" i="2"/>
  <c r="Q696" i="2"/>
  <c r="P696" i="2"/>
  <c r="O696" i="2"/>
  <c r="N696" i="2"/>
  <c r="M696" i="2"/>
  <c r="L696" i="2"/>
  <c r="K696" i="2"/>
  <c r="J696" i="2"/>
  <c r="Q695" i="2"/>
  <c r="P695" i="2"/>
  <c r="O695" i="2"/>
  <c r="N695" i="2"/>
  <c r="M695" i="2"/>
  <c r="L695" i="2"/>
  <c r="K695" i="2"/>
  <c r="J695" i="2"/>
  <c r="Q691" i="2"/>
  <c r="P691" i="2"/>
  <c r="O691" i="2"/>
  <c r="N691" i="2"/>
  <c r="M691" i="2"/>
  <c r="L691" i="2"/>
  <c r="K691" i="2"/>
  <c r="J691" i="2"/>
  <c r="Q690" i="2"/>
  <c r="P690" i="2"/>
  <c r="O690" i="2"/>
  <c r="N690" i="2"/>
  <c r="M690" i="2"/>
  <c r="L690" i="2"/>
  <c r="K690" i="2"/>
  <c r="J690" i="2"/>
  <c r="Q689" i="2"/>
  <c r="P689" i="2"/>
  <c r="O689" i="2"/>
  <c r="N689" i="2"/>
  <c r="M689" i="2"/>
  <c r="L689" i="2"/>
  <c r="K689" i="2"/>
  <c r="J689" i="2"/>
  <c r="Q688" i="2"/>
  <c r="P688" i="2"/>
  <c r="O688" i="2"/>
  <c r="N688" i="2"/>
  <c r="M688" i="2"/>
  <c r="L688" i="2"/>
  <c r="K688" i="2"/>
  <c r="J688" i="2"/>
  <c r="Q686" i="2"/>
  <c r="P686" i="2"/>
  <c r="O686" i="2"/>
  <c r="N686" i="2"/>
  <c r="M686" i="2"/>
  <c r="L686" i="2"/>
  <c r="K686" i="2"/>
  <c r="J686" i="2"/>
  <c r="Q685" i="2"/>
  <c r="P685" i="2"/>
  <c r="O685" i="2"/>
  <c r="N685" i="2"/>
  <c r="M685" i="2"/>
  <c r="L685" i="2"/>
  <c r="K685" i="2"/>
  <c r="J685" i="2"/>
  <c r="Q684" i="2"/>
  <c r="P684" i="2"/>
  <c r="O684" i="2"/>
  <c r="N684" i="2"/>
  <c r="M684" i="2"/>
  <c r="L684" i="2"/>
  <c r="K684" i="2"/>
  <c r="J684" i="2"/>
  <c r="Q683" i="2"/>
  <c r="P683" i="2"/>
  <c r="O683" i="2"/>
  <c r="N683" i="2"/>
  <c r="M683" i="2"/>
  <c r="L683" i="2"/>
  <c r="K683" i="2"/>
  <c r="J683" i="2"/>
  <c r="Q682" i="2"/>
  <c r="P682" i="2"/>
  <c r="O682" i="2"/>
  <c r="N682" i="2"/>
  <c r="M682" i="2"/>
  <c r="L682" i="2"/>
  <c r="K682" i="2"/>
  <c r="J682" i="2"/>
  <c r="Q680" i="2"/>
  <c r="P680" i="2"/>
  <c r="O680" i="2"/>
  <c r="N680" i="2"/>
  <c r="M680" i="2"/>
  <c r="L680" i="2"/>
  <c r="K680" i="2"/>
  <c r="J680" i="2"/>
  <c r="Q679" i="2"/>
  <c r="P679" i="2"/>
  <c r="O679" i="2"/>
  <c r="N679" i="2"/>
  <c r="M679" i="2"/>
  <c r="L679" i="2"/>
  <c r="K679" i="2"/>
  <c r="J679" i="2"/>
  <c r="Q678" i="2"/>
  <c r="P678" i="2"/>
  <c r="O678" i="2"/>
  <c r="N678" i="2"/>
  <c r="M678" i="2"/>
  <c r="L678" i="2"/>
  <c r="K678" i="2"/>
  <c r="J678" i="2"/>
  <c r="Q677" i="2"/>
  <c r="P677" i="2"/>
  <c r="O677" i="2"/>
  <c r="N677" i="2"/>
  <c r="M677" i="2"/>
  <c r="L677" i="2"/>
  <c r="K677" i="2"/>
  <c r="J677" i="2"/>
  <c r="Q676" i="2"/>
  <c r="P676" i="2"/>
  <c r="O676" i="2"/>
  <c r="N676" i="2"/>
  <c r="M676" i="2"/>
  <c r="L676" i="2"/>
  <c r="K676" i="2"/>
  <c r="J676" i="2"/>
  <c r="Q674" i="2"/>
  <c r="P674" i="2"/>
  <c r="O674" i="2"/>
  <c r="N674" i="2"/>
  <c r="M674" i="2"/>
  <c r="L674" i="2"/>
  <c r="K674" i="2"/>
  <c r="J674" i="2"/>
  <c r="Q673" i="2"/>
  <c r="P673" i="2"/>
  <c r="O673" i="2"/>
  <c r="N673" i="2"/>
  <c r="M673" i="2"/>
  <c r="L673" i="2"/>
  <c r="K673" i="2"/>
  <c r="J673" i="2"/>
  <c r="Q672" i="2"/>
  <c r="P672" i="2"/>
  <c r="O672" i="2"/>
  <c r="N672" i="2"/>
  <c r="M672" i="2"/>
  <c r="L672" i="2"/>
  <c r="K672" i="2"/>
  <c r="J672" i="2"/>
  <c r="Q671" i="2"/>
  <c r="P671" i="2"/>
  <c r="O671" i="2"/>
  <c r="N671" i="2"/>
  <c r="M671" i="2"/>
  <c r="L671" i="2"/>
  <c r="K671" i="2"/>
  <c r="J671" i="2"/>
  <c r="Q670" i="2"/>
  <c r="P670" i="2"/>
  <c r="O670" i="2"/>
  <c r="N670" i="2"/>
  <c r="M670" i="2"/>
  <c r="L670" i="2"/>
  <c r="K670" i="2"/>
  <c r="J670" i="2"/>
  <c r="Q657" i="2"/>
  <c r="P657" i="2"/>
  <c r="O657" i="2"/>
  <c r="N657" i="2"/>
  <c r="M657" i="2"/>
  <c r="L657" i="2"/>
  <c r="K657" i="2"/>
  <c r="J657" i="2"/>
  <c r="Q656" i="2"/>
  <c r="P656" i="2"/>
  <c r="O656" i="2"/>
  <c r="N656" i="2"/>
  <c r="M656" i="2"/>
  <c r="L656" i="2"/>
  <c r="K656" i="2"/>
  <c r="J656" i="2"/>
  <c r="Q651" i="2"/>
  <c r="P651" i="2"/>
  <c r="O651" i="2"/>
  <c r="N651" i="2"/>
  <c r="L651" i="2"/>
  <c r="K651" i="2"/>
  <c r="J651" i="2"/>
  <c r="Q650" i="2"/>
  <c r="P650" i="2"/>
  <c r="O650" i="2"/>
  <c r="N650" i="2"/>
  <c r="M650" i="2"/>
  <c r="M651" i="2" s="1"/>
  <c r="L650" i="2"/>
  <c r="K650" i="2"/>
  <c r="J650" i="2"/>
  <c r="Q649" i="2"/>
  <c r="P649" i="2"/>
  <c r="O649" i="2"/>
  <c r="N649" i="2"/>
  <c r="M649" i="2"/>
  <c r="L649" i="2"/>
  <c r="K649" i="2"/>
  <c r="J649" i="2"/>
  <c r="Q648" i="2"/>
  <c r="P648" i="2"/>
  <c r="O648" i="2"/>
  <c r="N648" i="2"/>
  <c r="M648" i="2"/>
  <c r="L648" i="2"/>
  <c r="K648" i="2"/>
  <c r="J648" i="2"/>
  <c r="Q646" i="2"/>
  <c r="P646" i="2"/>
  <c r="O646" i="2"/>
  <c r="N646" i="2"/>
  <c r="M646" i="2"/>
  <c r="L646" i="2"/>
  <c r="K646" i="2"/>
  <c r="J646" i="2"/>
  <c r="Q645" i="2"/>
  <c r="P645" i="2"/>
  <c r="O645" i="2"/>
  <c r="N645" i="2"/>
  <c r="M645" i="2"/>
  <c r="L645" i="2"/>
  <c r="K645" i="2"/>
  <c r="J645" i="2"/>
  <c r="Q644" i="2"/>
  <c r="P644" i="2"/>
  <c r="O644" i="2"/>
  <c r="N644" i="2"/>
  <c r="M644" i="2"/>
  <c r="L644" i="2"/>
  <c r="K644" i="2"/>
  <c r="J644" i="2"/>
  <c r="Q643" i="2"/>
  <c r="P643" i="2"/>
  <c r="O643" i="2"/>
  <c r="N643" i="2"/>
  <c r="M643" i="2"/>
  <c r="L643" i="2"/>
  <c r="K643" i="2"/>
  <c r="J643" i="2"/>
  <c r="Q641" i="2"/>
  <c r="P641" i="2"/>
  <c r="O641" i="2"/>
  <c r="N641" i="2"/>
  <c r="M641" i="2"/>
  <c r="L641" i="2"/>
  <c r="K641" i="2"/>
  <c r="J641" i="2"/>
  <c r="Q640" i="2"/>
  <c r="P640" i="2"/>
  <c r="O640" i="2"/>
  <c r="N640" i="2"/>
  <c r="M640" i="2"/>
  <c r="L640" i="2"/>
  <c r="K640" i="2"/>
  <c r="J640" i="2"/>
  <c r="Q639" i="2"/>
  <c r="P639" i="2"/>
  <c r="O639" i="2"/>
  <c r="N639" i="2"/>
  <c r="M639" i="2"/>
  <c r="L639" i="2"/>
  <c r="K639" i="2"/>
  <c r="J639" i="2"/>
  <c r="Q638" i="2"/>
  <c r="P638" i="2"/>
  <c r="O638" i="2"/>
  <c r="N638" i="2"/>
  <c r="M638" i="2"/>
  <c r="L638" i="2"/>
  <c r="K638" i="2"/>
  <c r="J638" i="2"/>
  <c r="K634" i="2"/>
  <c r="K633" i="2"/>
  <c r="K632" i="2"/>
  <c r="K630" i="2"/>
  <c r="K629" i="2"/>
  <c r="K628" i="2"/>
  <c r="Q626" i="2"/>
  <c r="P626" i="2"/>
  <c r="O626" i="2"/>
  <c r="N626" i="2"/>
  <c r="M626" i="2"/>
  <c r="L626" i="2"/>
  <c r="K626" i="2"/>
  <c r="J626" i="2"/>
  <c r="Q625" i="2"/>
  <c r="P625" i="2"/>
  <c r="O625" i="2"/>
  <c r="N625" i="2"/>
  <c r="M625" i="2"/>
  <c r="L625" i="2"/>
  <c r="K625" i="2"/>
  <c r="J625" i="2"/>
  <c r="Q624" i="2"/>
  <c r="P624" i="2"/>
  <c r="O624" i="2"/>
  <c r="N624" i="2"/>
  <c r="M624" i="2"/>
  <c r="L624" i="2"/>
  <c r="K624" i="2"/>
  <c r="J624" i="2"/>
  <c r="Q623" i="2"/>
  <c r="P623" i="2"/>
  <c r="O623" i="2"/>
  <c r="N623" i="2"/>
  <c r="M623" i="2"/>
  <c r="L623" i="2"/>
  <c r="K623" i="2"/>
  <c r="J623" i="2"/>
  <c r="Q621" i="2"/>
  <c r="P621" i="2"/>
  <c r="O621" i="2"/>
  <c r="N621" i="2"/>
  <c r="M621" i="2"/>
  <c r="L621" i="2"/>
  <c r="K621" i="2"/>
  <c r="J621" i="2"/>
  <c r="Q620" i="2"/>
  <c r="P620" i="2"/>
  <c r="O620" i="2"/>
  <c r="N620" i="2"/>
  <c r="M620" i="2"/>
  <c r="L620" i="2"/>
  <c r="K620" i="2"/>
  <c r="J620" i="2"/>
  <c r="Q619" i="2"/>
  <c r="P619" i="2"/>
  <c r="O619" i="2"/>
  <c r="N619" i="2"/>
  <c r="M619" i="2"/>
  <c r="L619" i="2"/>
  <c r="K619" i="2"/>
  <c r="J619" i="2"/>
  <c r="Q618" i="2"/>
  <c r="P618" i="2"/>
  <c r="O618" i="2"/>
  <c r="N618" i="2"/>
  <c r="M618" i="2"/>
  <c r="L618" i="2"/>
  <c r="K618" i="2"/>
  <c r="J618" i="2"/>
  <c r="Q611" i="2"/>
  <c r="P611" i="2"/>
  <c r="O611" i="2"/>
  <c r="N611" i="2"/>
  <c r="M611" i="2"/>
  <c r="L611" i="2"/>
  <c r="K611" i="2"/>
  <c r="J611" i="2"/>
  <c r="Q610" i="2"/>
  <c r="P610" i="2"/>
  <c r="O610" i="2"/>
  <c r="N610" i="2"/>
  <c r="M610" i="2"/>
  <c r="L610" i="2"/>
  <c r="K610" i="2"/>
  <c r="J610" i="2"/>
  <c r="Q609" i="2"/>
  <c r="P609" i="2"/>
  <c r="O609" i="2"/>
  <c r="N609" i="2"/>
  <c r="M609" i="2"/>
  <c r="L609" i="2"/>
  <c r="K609" i="2"/>
  <c r="J609" i="2"/>
  <c r="Q607" i="2"/>
  <c r="P607" i="2"/>
  <c r="O607" i="2"/>
  <c r="N607" i="2"/>
  <c r="M607" i="2"/>
  <c r="L607" i="2"/>
  <c r="K607" i="2"/>
  <c r="J607" i="2"/>
  <c r="Q606" i="2"/>
  <c r="P606" i="2"/>
  <c r="O606" i="2"/>
  <c r="N606" i="2"/>
  <c r="M606" i="2"/>
  <c r="L606" i="2"/>
  <c r="K606" i="2"/>
  <c r="J606" i="2"/>
  <c r="Q605" i="2"/>
  <c r="P605" i="2"/>
  <c r="O605" i="2"/>
  <c r="N605" i="2"/>
  <c r="M605" i="2"/>
  <c r="L605" i="2"/>
  <c r="K605" i="2"/>
  <c r="J605" i="2"/>
  <c r="Q604" i="2"/>
  <c r="P604" i="2"/>
  <c r="O604" i="2"/>
  <c r="N604" i="2"/>
  <c r="M604" i="2"/>
  <c r="L604" i="2"/>
  <c r="K604" i="2"/>
  <c r="J604" i="2"/>
  <c r="Q602" i="2"/>
  <c r="P602" i="2"/>
  <c r="O602" i="2"/>
  <c r="N602" i="2"/>
  <c r="M602" i="2"/>
  <c r="L602" i="2"/>
  <c r="K602" i="2"/>
  <c r="J602" i="2"/>
  <c r="Q601" i="2"/>
  <c r="P601" i="2"/>
  <c r="O601" i="2"/>
  <c r="N601" i="2"/>
  <c r="M601" i="2"/>
  <c r="L601" i="2"/>
  <c r="K601" i="2"/>
  <c r="J601" i="2"/>
  <c r="Q600" i="2"/>
  <c r="P600" i="2"/>
  <c r="O600" i="2"/>
  <c r="N600" i="2"/>
  <c r="M600" i="2"/>
  <c r="L600" i="2"/>
  <c r="K600" i="2"/>
  <c r="J600" i="2"/>
  <c r="Q599" i="2"/>
  <c r="P599" i="2"/>
  <c r="O599" i="2"/>
  <c r="N599" i="2"/>
  <c r="M599" i="2"/>
  <c r="L599" i="2"/>
  <c r="K599" i="2"/>
  <c r="J599" i="2"/>
  <c r="Q597" i="2"/>
  <c r="P597" i="2"/>
  <c r="O597" i="2"/>
  <c r="N597" i="2"/>
  <c r="M597" i="2"/>
  <c r="L597" i="2"/>
  <c r="K597" i="2"/>
  <c r="J597" i="2"/>
  <c r="Q596" i="2"/>
  <c r="P596" i="2"/>
  <c r="O596" i="2"/>
  <c r="N596" i="2"/>
  <c r="M596" i="2"/>
  <c r="L596" i="2"/>
  <c r="K596" i="2"/>
  <c r="J596" i="2"/>
  <c r="Q595" i="2"/>
  <c r="P595" i="2"/>
  <c r="O595" i="2"/>
  <c r="N595" i="2"/>
  <c r="M595" i="2"/>
  <c r="L595" i="2"/>
  <c r="K595" i="2"/>
  <c r="J595" i="2"/>
  <c r="Q594" i="2"/>
  <c r="P594" i="2"/>
  <c r="O594" i="2"/>
  <c r="N594" i="2"/>
  <c r="M594" i="2"/>
  <c r="L594" i="2"/>
  <c r="K594" i="2"/>
  <c r="J594" i="2"/>
  <c r="K590" i="2"/>
  <c r="K589" i="2"/>
  <c r="K588" i="2"/>
  <c r="K586" i="2"/>
  <c r="K585" i="2"/>
  <c r="K584" i="2"/>
  <c r="Q582" i="2"/>
  <c r="P582" i="2"/>
  <c r="O582" i="2"/>
  <c r="N582" i="2"/>
  <c r="M582" i="2"/>
  <c r="L582" i="2"/>
  <c r="K582" i="2"/>
  <c r="J582" i="2"/>
  <c r="Q581" i="2"/>
  <c r="P581" i="2"/>
  <c r="O581" i="2"/>
  <c r="N581" i="2"/>
  <c r="M581" i="2"/>
  <c r="L581" i="2"/>
  <c r="K581" i="2"/>
  <c r="J581" i="2"/>
  <c r="Q580" i="2"/>
  <c r="P580" i="2"/>
  <c r="O580" i="2"/>
  <c r="N580" i="2"/>
  <c r="M580" i="2"/>
  <c r="L580" i="2"/>
  <c r="K580" i="2"/>
  <c r="J580" i="2"/>
  <c r="Q579" i="2"/>
  <c r="P579" i="2"/>
  <c r="O579" i="2"/>
  <c r="N579" i="2"/>
  <c r="M579" i="2"/>
  <c r="L579" i="2"/>
  <c r="K579" i="2"/>
  <c r="J579" i="2"/>
  <c r="Q577" i="2"/>
  <c r="P577" i="2"/>
  <c r="O577" i="2"/>
  <c r="N577" i="2"/>
  <c r="M577" i="2"/>
  <c r="L577" i="2"/>
  <c r="K577" i="2"/>
  <c r="J577" i="2"/>
  <c r="Q576" i="2"/>
  <c r="P576" i="2"/>
  <c r="O576" i="2"/>
  <c r="N576" i="2"/>
  <c r="M576" i="2"/>
  <c r="L576" i="2"/>
  <c r="K576" i="2"/>
  <c r="J576" i="2"/>
  <c r="Q575" i="2"/>
  <c r="P575" i="2"/>
  <c r="O575" i="2"/>
  <c r="N575" i="2"/>
  <c r="M575" i="2"/>
  <c r="L575" i="2"/>
  <c r="K575" i="2"/>
  <c r="J575" i="2"/>
  <c r="Q574" i="2"/>
  <c r="P574" i="2"/>
  <c r="O574" i="2"/>
  <c r="N574" i="2"/>
  <c r="M574" i="2"/>
  <c r="L574" i="2"/>
  <c r="K574" i="2"/>
  <c r="J574" i="2"/>
  <c r="Q572" i="2"/>
  <c r="P572" i="2"/>
  <c r="O572" i="2"/>
  <c r="N572" i="2"/>
  <c r="M572" i="2"/>
  <c r="L572" i="2"/>
  <c r="K572" i="2"/>
  <c r="J572" i="2"/>
  <c r="Q571" i="2"/>
  <c r="P571" i="2"/>
  <c r="O571" i="2"/>
  <c r="N571" i="2"/>
  <c r="M571" i="2"/>
  <c r="L571" i="2"/>
  <c r="K571" i="2"/>
  <c r="J571" i="2"/>
  <c r="Q570" i="2"/>
  <c r="P570" i="2"/>
  <c r="O570" i="2"/>
  <c r="N570" i="2"/>
  <c r="M570" i="2"/>
  <c r="L570" i="2"/>
  <c r="K570" i="2"/>
  <c r="J570" i="2"/>
  <c r="Q569" i="2"/>
  <c r="P569" i="2"/>
  <c r="O569" i="2"/>
  <c r="N569" i="2"/>
  <c r="M569" i="2"/>
  <c r="L569" i="2"/>
  <c r="K569" i="2"/>
  <c r="J569" i="2"/>
  <c r="Q561" i="2"/>
  <c r="P561" i="2"/>
  <c r="O561" i="2"/>
  <c r="N561" i="2"/>
  <c r="M561" i="2"/>
  <c r="L561" i="2"/>
  <c r="K561" i="2"/>
  <c r="J561" i="2"/>
  <c r="Q560" i="2"/>
  <c r="P560" i="2"/>
  <c r="O560" i="2"/>
  <c r="N560" i="2"/>
  <c r="M560" i="2"/>
  <c r="L560" i="2"/>
  <c r="K560" i="2"/>
  <c r="J560" i="2"/>
  <c r="Q558" i="2"/>
  <c r="P558" i="2"/>
  <c r="O558" i="2"/>
  <c r="N558" i="2"/>
  <c r="M558" i="2"/>
  <c r="L558" i="2"/>
  <c r="K558" i="2"/>
  <c r="J558" i="2"/>
  <c r="Q557" i="2"/>
  <c r="P557" i="2"/>
  <c r="O557" i="2"/>
  <c r="N557" i="2"/>
  <c r="M557" i="2"/>
  <c r="L557" i="2"/>
  <c r="K557" i="2"/>
  <c r="J557" i="2"/>
  <c r="Q556" i="2"/>
  <c r="P556" i="2"/>
  <c r="O556" i="2"/>
  <c r="N556" i="2"/>
  <c r="M556" i="2"/>
  <c r="L556" i="2"/>
  <c r="K556" i="2"/>
  <c r="J556" i="2"/>
  <c r="Q555" i="2"/>
  <c r="P555" i="2"/>
  <c r="O555" i="2"/>
  <c r="N555" i="2"/>
  <c r="M555" i="2"/>
  <c r="L555" i="2"/>
  <c r="K555" i="2"/>
  <c r="J555" i="2"/>
  <c r="Q554" i="2"/>
  <c r="P554" i="2"/>
  <c r="O554" i="2"/>
  <c r="N554" i="2"/>
  <c r="M554" i="2"/>
  <c r="L554" i="2"/>
  <c r="K554" i="2"/>
  <c r="J554" i="2"/>
  <c r="Q553" i="2"/>
  <c r="P553" i="2"/>
  <c r="O553" i="2"/>
  <c r="N553" i="2"/>
  <c r="M553" i="2"/>
  <c r="L553" i="2"/>
  <c r="K553" i="2"/>
  <c r="J553" i="2"/>
  <c r="Q541" i="2"/>
  <c r="P541" i="2"/>
  <c r="O541" i="2"/>
  <c r="N541" i="2"/>
  <c r="M541" i="2"/>
  <c r="L541" i="2"/>
  <c r="K541" i="2"/>
  <c r="J541" i="2"/>
  <c r="Q540" i="2"/>
  <c r="P540" i="2"/>
  <c r="O540" i="2"/>
  <c r="N540" i="2"/>
  <c r="M540" i="2"/>
  <c r="L540" i="2"/>
  <c r="K540" i="2"/>
  <c r="J540" i="2"/>
  <c r="Q539" i="2"/>
  <c r="P539" i="2"/>
  <c r="O539" i="2"/>
  <c r="N539" i="2"/>
  <c r="M539" i="2"/>
  <c r="L539" i="2"/>
  <c r="K539" i="2"/>
  <c r="J539" i="2"/>
  <c r="Q538" i="2"/>
  <c r="P538" i="2"/>
  <c r="O538" i="2"/>
  <c r="N538" i="2"/>
  <c r="M538" i="2"/>
  <c r="L538" i="2"/>
  <c r="K538" i="2"/>
  <c r="J538" i="2"/>
  <c r="Q537" i="2"/>
  <c r="P537" i="2"/>
  <c r="O537" i="2"/>
  <c r="N537" i="2"/>
  <c r="M537" i="2"/>
  <c r="L537" i="2"/>
  <c r="K537" i="2"/>
  <c r="J537" i="2"/>
  <c r="Q527" i="2"/>
  <c r="P527" i="2"/>
  <c r="O527" i="2"/>
  <c r="N527" i="2"/>
  <c r="M527" i="2"/>
  <c r="L527" i="2"/>
  <c r="K527" i="2"/>
  <c r="J527" i="2"/>
  <c r="Q514" i="2"/>
  <c r="P514" i="2"/>
  <c r="O514" i="2"/>
  <c r="N514" i="2"/>
  <c r="M514" i="2"/>
  <c r="L514" i="2"/>
  <c r="K514" i="2"/>
  <c r="J514" i="2"/>
  <c r="Q503" i="2"/>
  <c r="P503" i="2"/>
  <c r="O503" i="2"/>
  <c r="N503" i="2"/>
  <c r="M503" i="2"/>
  <c r="L503" i="2"/>
  <c r="K503" i="2"/>
  <c r="J503" i="2"/>
  <c r="Q502" i="2"/>
  <c r="P502" i="2"/>
  <c r="O502" i="2"/>
  <c r="N502" i="2"/>
  <c r="M502" i="2"/>
  <c r="L502" i="2"/>
  <c r="K502" i="2"/>
  <c r="J502" i="2"/>
  <c r="Q496" i="2"/>
  <c r="P496" i="2"/>
  <c r="O496" i="2"/>
  <c r="N496" i="2"/>
  <c r="M496" i="2"/>
  <c r="L496" i="2"/>
  <c r="K496" i="2"/>
  <c r="J496" i="2"/>
  <c r="Q494" i="2"/>
  <c r="P494" i="2"/>
  <c r="O494" i="2"/>
  <c r="N494" i="2"/>
  <c r="M494" i="2"/>
  <c r="L494" i="2"/>
  <c r="K494" i="2"/>
  <c r="J494" i="2"/>
  <c r="Q493" i="2"/>
  <c r="P493" i="2"/>
  <c r="O493" i="2"/>
  <c r="N493" i="2"/>
  <c r="M493" i="2"/>
  <c r="L493" i="2"/>
  <c r="K493" i="2"/>
  <c r="J493" i="2"/>
  <c r="Q492" i="2"/>
  <c r="P492" i="2"/>
  <c r="O492" i="2"/>
  <c r="N492" i="2"/>
  <c r="M492" i="2"/>
  <c r="L492" i="2"/>
  <c r="K492" i="2"/>
  <c r="J492" i="2"/>
  <c r="Q491" i="2"/>
  <c r="P491" i="2"/>
  <c r="O491" i="2"/>
  <c r="N491" i="2"/>
  <c r="M491" i="2"/>
  <c r="L491" i="2"/>
  <c r="K491" i="2"/>
  <c r="J491" i="2"/>
  <c r="Q484" i="2"/>
  <c r="P484" i="2"/>
  <c r="O484" i="2"/>
  <c r="N484" i="2"/>
  <c r="M484" i="2"/>
  <c r="L484" i="2"/>
  <c r="K484" i="2"/>
  <c r="J484" i="2"/>
  <c r="Q483" i="2"/>
  <c r="P483" i="2"/>
  <c r="O483" i="2"/>
  <c r="N483" i="2"/>
  <c r="M483" i="2"/>
  <c r="L483" i="2"/>
  <c r="K483" i="2"/>
  <c r="J483" i="2"/>
  <c r="Q482" i="2"/>
  <c r="P482" i="2"/>
  <c r="O482" i="2"/>
  <c r="N482" i="2"/>
  <c r="M482" i="2"/>
  <c r="L482" i="2"/>
  <c r="K482" i="2"/>
  <c r="J482" i="2"/>
  <c r="Q481" i="2"/>
  <c r="P481" i="2"/>
  <c r="O481" i="2"/>
  <c r="N481" i="2"/>
  <c r="M481" i="2"/>
  <c r="L481" i="2"/>
  <c r="K481" i="2"/>
  <c r="J481" i="2"/>
  <c r="Q479" i="2"/>
  <c r="P479" i="2"/>
  <c r="O479" i="2"/>
  <c r="N479" i="2"/>
  <c r="M479" i="2"/>
  <c r="L479" i="2"/>
  <c r="K479" i="2"/>
  <c r="J479" i="2"/>
  <c r="Q478" i="2"/>
  <c r="P478" i="2"/>
  <c r="O478" i="2"/>
  <c r="N478" i="2"/>
  <c r="M478" i="2"/>
  <c r="L478" i="2"/>
  <c r="K478" i="2"/>
  <c r="J478" i="2"/>
  <c r="Q477" i="2"/>
  <c r="P477" i="2"/>
  <c r="O477" i="2"/>
  <c r="N477" i="2"/>
  <c r="M477" i="2"/>
  <c r="L477" i="2"/>
  <c r="K477" i="2"/>
  <c r="J477" i="2"/>
  <c r="Q476" i="2"/>
  <c r="P476" i="2"/>
  <c r="O476" i="2"/>
  <c r="N476" i="2"/>
  <c r="M476" i="2"/>
  <c r="L476" i="2"/>
  <c r="K476" i="2"/>
  <c r="J476" i="2"/>
  <c r="Q474" i="2"/>
  <c r="P474" i="2"/>
  <c r="O474" i="2"/>
  <c r="N474" i="2"/>
  <c r="M474" i="2"/>
  <c r="L474" i="2"/>
  <c r="K474" i="2"/>
  <c r="J474" i="2"/>
  <c r="Q473" i="2"/>
  <c r="P473" i="2"/>
  <c r="O473" i="2"/>
  <c r="N473" i="2"/>
  <c r="M473" i="2"/>
  <c r="L473" i="2"/>
  <c r="K473" i="2"/>
  <c r="J473" i="2"/>
  <c r="Q472" i="2"/>
  <c r="P472" i="2"/>
  <c r="O472" i="2"/>
  <c r="N472" i="2"/>
  <c r="M472" i="2"/>
  <c r="L472" i="2"/>
  <c r="K472" i="2"/>
  <c r="J472" i="2"/>
  <c r="Q471" i="2"/>
  <c r="P471" i="2"/>
  <c r="O471" i="2"/>
  <c r="N471" i="2"/>
  <c r="M471" i="2"/>
  <c r="L471" i="2"/>
  <c r="K471" i="2"/>
  <c r="J471" i="2"/>
  <c r="K467" i="2"/>
  <c r="K466" i="2"/>
  <c r="K465" i="2"/>
  <c r="K463" i="2"/>
  <c r="K462" i="2"/>
  <c r="K460" i="2"/>
  <c r="K459" i="2"/>
  <c r="K458" i="2"/>
  <c r="Q455" i="2"/>
  <c r="P455" i="2"/>
  <c r="O455" i="2"/>
  <c r="N455" i="2"/>
  <c r="M455" i="2"/>
  <c r="L455" i="2"/>
  <c r="K455" i="2"/>
  <c r="J455" i="2"/>
  <c r="Q454" i="2"/>
  <c r="P454" i="2"/>
  <c r="O454" i="2"/>
  <c r="N454" i="2"/>
  <c r="M454" i="2"/>
  <c r="L454" i="2"/>
  <c r="K454" i="2"/>
  <c r="J454" i="2"/>
  <c r="Q453" i="2"/>
  <c r="P453" i="2"/>
  <c r="O453" i="2"/>
  <c r="N453" i="2"/>
  <c r="M453" i="2"/>
  <c r="L453" i="2"/>
  <c r="K453" i="2"/>
  <c r="J453" i="2"/>
  <c r="Q452" i="2"/>
  <c r="P452" i="2"/>
  <c r="O452" i="2"/>
  <c r="N452" i="2"/>
  <c r="M452" i="2"/>
  <c r="L452" i="2"/>
  <c r="K452" i="2"/>
  <c r="J452" i="2"/>
  <c r="Q450" i="2"/>
  <c r="P450" i="2"/>
  <c r="O450" i="2"/>
  <c r="N450" i="2"/>
  <c r="M450" i="2"/>
  <c r="L450" i="2"/>
  <c r="K450" i="2"/>
  <c r="J450" i="2"/>
  <c r="Q449" i="2"/>
  <c r="P449" i="2"/>
  <c r="O449" i="2"/>
  <c r="N449" i="2"/>
  <c r="M449" i="2"/>
  <c r="L449" i="2"/>
  <c r="K449" i="2"/>
  <c r="J449" i="2"/>
  <c r="Q448" i="2"/>
  <c r="P448" i="2"/>
  <c r="O448" i="2"/>
  <c r="N448" i="2"/>
  <c r="M448" i="2"/>
  <c r="L448" i="2"/>
  <c r="K448" i="2"/>
  <c r="J448" i="2"/>
  <c r="Q447" i="2"/>
  <c r="P447" i="2"/>
  <c r="O447" i="2"/>
  <c r="N447" i="2"/>
  <c r="M447" i="2"/>
  <c r="L447" i="2"/>
  <c r="K447" i="2"/>
  <c r="J447" i="2"/>
  <c r="Q437" i="2"/>
  <c r="P437" i="2"/>
  <c r="O437" i="2"/>
  <c r="N437" i="2"/>
  <c r="M437" i="2"/>
  <c r="L437" i="2"/>
  <c r="K437" i="2"/>
  <c r="J437" i="2"/>
  <c r="Q436" i="2"/>
  <c r="P436" i="2"/>
  <c r="O436" i="2"/>
  <c r="N436" i="2"/>
  <c r="M436" i="2"/>
  <c r="L436" i="2"/>
  <c r="K436" i="2"/>
  <c r="J436" i="2"/>
  <c r="Q435" i="2"/>
  <c r="P435" i="2"/>
  <c r="O435" i="2"/>
  <c r="N435" i="2"/>
  <c r="M435" i="2"/>
  <c r="L435" i="2"/>
  <c r="K435" i="2"/>
  <c r="J435" i="2"/>
  <c r="Q434" i="2"/>
  <c r="P434" i="2"/>
  <c r="O434" i="2"/>
  <c r="N434" i="2"/>
  <c r="M434" i="2"/>
  <c r="L434" i="2"/>
  <c r="K434" i="2"/>
  <c r="J434" i="2"/>
  <c r="Q432" i="2"/>
  <c r="P432" i="2"/>
  <c r="O432" i="2"/>
  <c r="N432" i="2"/>
  <c r="M432" i="2"/>
  <c r="L432" i="2"/>
  <c r="K432" i="2"/>
  <c r="J432" i="2"/>
  <c r="Q431" i="2"/>
  <c r="P431" i="2"/>
  <c r="O431" i="2"/>
  <c r="N431" i="2"/>
  <c r="M431" i="2"/>
  <c r="L431" i="2"/>
  <c r="K431" i="2"/>
  <c r="J431" i="2"/>
  <c r="Q430" i="2"/>
  <c r="P430" i="2"/>
  <c r="O430" i="2"/>
  <c r="N430" i="2"/>
  <c r="M430" i="2"/>
  <c r="L430" i="2"/>
  <c r="K430" i="2"/>
  <c r="J430" i="2"/>
  <c r="Q428" i="2"/>
  <c r="P428" i="2"/>
  <c r="O428" i="2"/>
  <c r="N428" i="2"/>
  <c r="M428" i="2"/>
  <c r="L428" i="2"/>
  <c r="K428" i="2"/>
  <c r="J428" i="2"/>
  <c r="Q427" i="2"/>
  <c r="P427" i="2"/>
  <c r="O427" i="2"/>
  <c r="N427" i="2"/>
  <c r="M427" i="2"/>
  <c r="L427" i="2"/>
  <c r="K427" i="2"/>
  <c r="J427" i="2"/>
  <c r="Q426" i="2"/>
  <c r="P426" i="2"/>
  <c r="O426" i="2"/>
  <c r="N426" i="2"/>
  <c r="M426" i="2"/>
  <c r="L426" i="2"/>
  <c r="K426" i="2"/>
  <c r="J426" i="2"/>
  <c r="Q424" i="2"/>
  <c r="P424" i="2"/>
  <c r="O424" i="2"/>
  <c r="N424" i="2"/>
  <c r="M424" i="2"/>
  <c r="L424" i="2"/>
  <c r="K424" i="2"/>
  <c r="J424" i="2"/>
  <c r="Q423" i="2"/>
  <c r="P423" i="2"/>
  <c r="O423" i="2"/>
  <c r="N423" i="2"/>
  <c r="M423" i="2"/>
  <c r="L423" i="2"/>
  <c r="K423" i="2"/>
  <c r="J423" i="2"/>
  <c r="Q422" i="2"/>
  <c r="P422" i="2"/>
  <c r="O422" i="2"/>
  <c r="N422" i="2"/>
  <c r="M422" i="2"/>
  <c r="L422" i="2"/>
  <c r="K422" i="2"/>
  <c r="J422" i="2"/>
  <c r="K418" i="2"/>
  <c r="K417" i="2"/>
  <c r="K416" i="2"/>
  <c r="K414" i="2"/>
  <c r="K413" i="2"/>
  <c r="K412" i="2"/>
  <c r="Q410" i="2"/>
  <c r="P410" i="2"/>
  <c r="O410" i="2"/>
  <c r="N410" i="2"/>
  <c r="M410" i="2"/>
  <c r="L410" i="2"/>
  <c r="K410" i="2"/>
  <c r="J410" i="2"/>
  <c r="Q409" i="2"/>
  <c r="P409" i="2"/>
  <c r="O409" i="2"/>
  <c r="N409" i="2"/>
  <c r="M409" i="2"/>
  <c r="L409" i="2"/>
  <c r="K409" i="2"/>
  <c r="J409" i="2"/>
  <c r="Q408" i="2"/>
  <c r="P408" i="2"/>
  <c r="O408" i="2"/>
  <c r="N408" i="2"/>
  <c r="M408" i="2"/>
  <c r="L408" i="2"/>
  <c r="K408" i="2"/>
  <c r="J408" i="2"/>
  <c r="Q406" i="2"/>
  <c r="P406" i="2"/>
  <c r="O406" i="2"/>
  <c r="N406" i="2"/>
  <c r="M406" i="2"/>
  <c r="L406" i="2"/>
  <c r="K406" i="2"/>
  <c r="J406" i="2"/>
  <c r="Q405" i="2"/>
  <c r="P405" i="2"/>
  <c r="O405" i="2"/>
  <c r="N405" i="2"/>
  <c r="M405" i="2"/>
  <c r="L405" i="2"/>
  <c r="K405" i="2"/>
  <c r="J405" i="2"/>
  <c r="Q404" i="2"/>
  <c r="P404" i="2"/>
  <c r="O404" i="2"/>
  <c r="N404" i="2"/>
  <c r="M404" i="2"/>
  <c r="L404" i="2"/>
  <c r="K404" i="2"/>
  <c r="J404" i="2"/>
  <c r="Q402" i="2"/>
  <c r="P402" i="2"/>
  <c r="O402" i="2"/>
  <c r="N402" i="2"/>
  <c r="M402" i="2"/>
  <c r="L402" i="2"/>
  <c r="K402" i="2"/>
  <c r="J402" i="2"/>
  <c r="Q401" i="2"/>
  <c r="P401" i="2"/>
  <c r="O401" i="2"/>
  <c r="N401" i="2"/>
  <c r="M401" i="2"/>
  <c r="L401" i="2"/>
  <c r="K401" i="2"/>
  <c r="J401" i="2"/>
  <c r="Q400" i="2"/>
  <c r="P400" i="2"/>
  <c r="O400" i="2"/>
  <c r="N400" i="2"/>
  <c r="M400" i="2"/>
  <c r="L400" i="2"/>
  <c r="K400" i="2"/>
  <c r="J400" i="2"/>
  <c r="Q392" i="2"/>
  <c r="P392" i="2"/>
  <c r="O392" i="2"/>
  <c r="N392" i="2"/>
  <c r="M392" i="2"/>
  <c r="L392" i="2"/>
  <c r="K392" i="2"/>
  <c r="J392" i="2"/>
  <c r="Q391" i="2"/>
  <c r="P391" i="2"/>
  <c r="O391" i="2"/>
  <c r="N391" i="2"/>
  <c r="M391" i="2"/>
  <c r="L391" i="2"/>
  <c r="K391" i="2"/>
  <c r="J391" i="2"/>
  <c r="Q390" i="2"/>
  <c r="P390" i="2"/>
  <c r="O390" i="2"/>
  <c r="N390" i="2"/>
  <c r="M390" i="2"/>
  <c r="L390" i="2"/>
  <c r="K390" i="2"/>
  <c r="J390" i="2"/>
  <c r="Q389" i="2"/>
  <c r="P389" i="2"/>
  <c r="O389" i="2"/>
  <c r="N389" i="2"/>
  <c r="M389" i="2"/>
  <c r="L389" i="2"/>
  <c r="K389" i="2"/>
  <c r="J389" i="2"/>
  <c r="Q387" i="2"/>
  <c r="P387" i="2"/>
  <c r="O387" i="2"/>
  <c r="N387" i="2"/>
  <c r="M387" i="2"/>
  <c r="L387" i="2"/>
  <c r="K387" i="2"/>
  <c r="J387" i="2"/>
  <c r="Q386" i="2"/>
  <c r="P386" i="2"/>
  <c r="O386" i="2"/>
  <c r="N386" i="2"/>
  <c r="M386" i="2"/>
  <c r="L386" i="2"/>
  <c r="K386" i="2"/>
  <c r="J386" i="2"/>
  <c r="Q385" i="2"/>
  <c r="P385" i="2"/>
  <c r="O385" i="2"/>
  <c r="N385" i="2"/>
  <c r="M385" i="2"/>
  <c r="L385" i="2"/>
  <c r="K385" i="2"/>
  <c r="J385" i="2"/>
  <c r="Q373" i="2"/>
  <c r="P373" i="2"/>
  <c r="O373" i="2"/>
  <c r="N373" i="2"/>
  <c r="M373" i="2"/>
  <c r="L373" i="2"/>
  <c r="K373" i="2"/>
  <c r="J373" i="2"/>
  <c r="Q372" i="2"/>
  <c r="P372" i="2"/>
  <c r="O372" i="2"/>
  <c r="N372" i="2"/>
  <c r="M372" i="2"/>
  <c r="L372" i="2"/>
  <c r="K372" i="2"/>
  <c r="J372" i="2"/>
  <c r="Q362" i="2"/>
  <c r="P362" i="2"/>
  <c r="O362" i="2"/>
  <c r="N362" i="2"/>
  <c r="M362" i="2"/>
  <c r="L362" i="2"/>
  <c r="K362" i="2"/>
  <c r="J362" i="2"/>
  <c r="Q361" i="2"/>
  <c r="P361" i="2"/>
  <c r="O361" i="2"/>
  <c r="N361" i="2"/>
  <c r="M361" i="2"/>
  <c r="L361" i="2"/>
  <c r="K361" i="2"/>
  <c r="J361" i="2"/>
  <c r="Q352" i="2"/>
  <c r="P352" i="2"/>
  <c r="O352" i="2"/>
  <c r="N352" i="2"/>
  <c r="M352" i="2"/>
  <c r="L352" i="2"/>
  <c r="K352" i="2"/>
  <c r="J352" i="2"/>
  <c r="Q345" i="2"/>
  <c r="P345" i="2"/>
  <c r="O345" i="2"/>
  <c r="N345" i="2"/>
  <c r="M345" i="2"/>
  <c r="L345" i="2"/>
  <c r="K345" i="2"/>
  <c r="J345" i="2"/>
  <c r="Q343" i="2"/>
  <c r="P343" i="2"/>
  <c r="O343" i="2"/>
  <c r="N343" i="2"/>
  <c r="M343" i="2"/>
  <c r="L343" i="2"/>
  <c r="K343" i="2"/>
  <c r="J343" i="2"/>
  <c r="Q342" i="2"/>
  <c r="P342" i="2"/>
  <c r="O342" i="2"/>
  <c r="N342" i="2"/>
  <c r="M342" i="2"/>
  <c r="L342" i="2"/>
  <c r="K342" i="2"/>
  <c r="J342" i="2"/>
  <c r="Q341" i="2"/>
  <c r="P341" i="2"/>
  <c r="O341" i="2"/>
  <c r="N341" i="2"/>
  <c r="M341" i="2"/>
  <c r="L341" i="2"/>
  <c r="K341" i="2"/>
  <c r="J341" i="2"/>
  <c r="Q339" i="2"/>
  <c r="P339" i="2"/>
  <c r="O339" i="2"/>
  <c r="N339" i="2"/>
  <c r="M339" i="2"/>
  <c r="L339" i="2"/>
  <c r="K339" i="2"/>
  <c r="J339" i="2"/>
  <c r="Q338" i="2"/>
  <c r="P338" i="2"/>
  <c r="O338" i="2"/>
  <c r="N338" i="2"/>
  <c r="M338" i="2"/>
  <c r="L338" i="2"/>
  <c r="K338" i="2"/>
  <c r="J338" i="2"/>
  <c r="Q337" i="2"/>
  <c r="P337" i="2"/>
  <c r="O337" i="2"/>
  <c r="N337" i="2"/>
  <c r="M337" i="2"/>
  <c r="L337" i="2"/>
  <c r="K337" i="2"/>
  <c r="J337" i="2"/>
  <c r="Q335" i="2"/>
  <c r="P335" i="2"/>
  <c r="O335" i="2"/>
  <c r="N335" i="2"/>
  <c r="M335" i="2"/>
  <c r="L335" i="2"/>
  <c r="K335" i="2"/>
  <c r="J335" i="2"/>
  <c r="Q334" i="2"/>
  <c r="P334" i="2"/>
  <c r="O334" i="2"/>
  <c r="N334" i="2"/>
  <c r="M334" i="2"/>
  <c r="L334" i="2"/>
  <c r="K334" i="2"/>
  <c r="J334" i="2"/>
  <c r="Q333" i="2"/>
  <c r="P333" i="2"/>
  <c r="O333" i="2"/>
  <c r="N333" i="2"/>
  <c r="M333" i="2"/>
  <c r="L333" i="2"/>
  <c r="K333" i="2"/>
  <c r="J333" i="2"/>
  <c r="Q332" i="2"/>
  <c r="P332" i="2"/>
  <c r="O332" i="2"/>
  <c r="N332" i="2"/>
  <c r="M332" i="2"/>
  <c r="L332" i="2"/>
  <c r="K332" i="2"/>
  <c r="J332" i="2"/>
  <c r="Q330" i="2"/>
  <c r="P330" i="2"/>
  <c r="O330" i="2"/>
  <c r="N330" i="2"/>
  <c r="M330" i="2"/>
  <c r="L330" i="2"/>
  <c r="K330" i="2"/>
  <c r="J330" i="2"/>
  <c r="Q329" i="2"/>
  <c r="P329" i="2"/>
  <c r="O329" i="2"/>
  <c r="N329" i="2"/>
  <c r="M329" i="2"/>
  <c r="L329" i="2"/>
  <c r="K329" i="2"/>
  <c r="J329" i="2"/>
  <c r="Q328" i="2"/>
  <c r="P328" i="2"/>
  <c r="O328" i="2"/>
  <c r="N328" i="2"/>
  <c r="M328" i="2"/>
  <c r="L328" i="2"/>
  <c r="K328" i="2"/>
  <c r="J328" i="2"/>
  <c r="Q327" i="2"/>
  <c r="P327" i="2"/>
  <c r="O327" i="2"/>
  <c r="N327" i="2"/>
  <c r="M327" i="2"/>
  <c r="L327" i="2"/>
  <c r="K327" i="2"/>
  <c r="J327" i="2"/>
  <c r="K323" i="2"/>
  <c r="K322" i="2"/>
  <c r="K321" i="2"/>
  <c r="K319" i="2"/>
  <c r="K318" i="2"/>
  <c r="K317" i="2"/>
  <c r="Q315" i="2"/>
  <c r="P315" i="2"/>
  <c r="O315" i="2"/>
  <c r="N315" i="2"/>
  <c r="M315" i="2"/>
  <c r="L315" i="2"/>
  <c r="K315" i="2"/>
  <c r="J315" i="2"/>
  <c r="Q314" i="2"/>
  <c r="P314" i="2"/>
  <c r="O314" i="2"/>
  <c r="N314" i="2"/>
  <c r="M314" i="2"/>
  <c r="L314" i="2"/>
  <c r="K314" i="2"/>
  <c r="J314" i="2"/>
  <c r="Q313" i="2"/>
  <c r="P313" i="2"/>
  <c r="O313" i="2"/>
  <c r="N313" i="2"/>
  <c r="M313" i="2"/>
  <c r="L313" i="2"/>
  <c r="K313" i="2"/>
  <c r="J313" i="2"/>
  <c r="Q311" i="2"/>
  <c r="P311" i="2"/>
  <c r="O311" i="2"/>
  <c r="N311" i="2"/>
  <c r="M311" i="2"/>
  <c r="L311" i="2"/>
  <c r="K311" i="2"/>
  <c r="J311" i="2"/>
  <c r="Q310" i="2"/>
  <c r="P310" i="2"/>
  <c r="O310" i="2"/>
  <c r="N310" i="2"/>
  <c r="M310" i="2"/>
  <c r="L310" i="2"/>
  <c r="K310" i="2"/>
  <c r="J310" i="2"/>
  <c r="Q309" i="2"/>
  <c r="P309" i="2"/>
  <c r="O309" i="2"/>
  <c r="N309" i="2"/>
  <c r="M309" i="2"/>
  <c r="L309" i="2"/>
  <c r="K309" i="2"/>
  <c r="J309" i="2"/>
  <c r="Q308" i="2"/>
  <c r="P308" i="2"/>
  <c r="O308" i="2"/>
  <c r="N308" i="2"/>
  <c r="M308" i="2"/>
  <c r="L308" i="2"/>
  <c r="K308" i="2"/>
  <c r="J308" i="2"/>
  <c r="Q306" i="2"/>
  <c r="P306" i="2"/>
  <c r="O306" i="2"/>
  <c r="N306" i="2"/>
  <c r="M306" i="2"/>
  <c r="L306" i="2"/>
  <c r="K306" i="2"/>
  <c r="J306" i="2"/>
  <c r="Q305" i="2"/>
  <c r="P305" i="2"/>
  <c r="O305" i="2"/>
  <c r="N305" i="2"/>
  <c r="M305" i="2"/>
  <c r="L305" i="2"/>
  <c r="K305" i="2"/>
  <c r="J305" i="2"/>
  <c r="Q304" i="2"/>
  <c r="P304" i="2"/>
  <c r="O304" i="2"/>
  <c r="N304" i="2"/>
  <c r="M304" i="2"/>
  <c r="L304" i="2"/>
  <c r="K304" i="2"/>
  <c r="J304" i="2"/>
  <c r="Q303" i="2"/>
  <c r="P303" i="2"/>
  <c r="O303" i="2"/>
  <c r="N303" i="2"/>
  <c r="M303" i="2"/>
  <c r="L303" i="2"/>
  <c r="K303" i="2"/>
  <c r="J303" i="2"/>
  <c r="Q296" i="2"/>
  <c r="P296" i="2"/>
  <c r="O296" i="2"/>
  <c r="N296" i="2"/>
  <c r="M296" i="2"/>
  <c r="L296" i="2"/>
  <c r="K296" i="2"/>
  <c r="J296" i="2"/>
  <c r="Q294" i="2"/>
  <c r="P294" i="2"/>
  <c r="O294" i="2"/>
  <c r="N294" i="2"/>
  <c r="M294" i="2"/>
  <c r="L294" i="2"/>
  <c r="K294" i="2"/>
  <c r="J294" i="2"/>
  <c r="Q293" i="2"/>
  <c r="P293" i="2"/>
  <c r="O293" i="2"/>
  <c r="N293" i="2"/>
  <c r="M293" i="2"/>
  <c r="L293" i="2"/>
  <c r="K293" i="2"/>
  <c r="J293" i="2"/>
  <c r="Q292" i="2"/>
  <c r="P292" i="2"/>
  <c r="O292" i="2"/>
  <c r="N292" i="2"/>
  <c r="M292" i="2"/>
  <c r="L292" i="2"/>
  <c r="K292" i="2"/>
  <c r="J292" i="2"/>
  <c r="Q290" i="2"/>
  <c r="P290" i="2"/>
  <c r="O290" i="2"/>
  <c r="N290" i="2"/>
  <c r="M290" i="2"/>
  <c r="L290" i="2"/>
  <c r="K290" i="2"/>
  <c r="J290" i="2"/>
  <c r="Q289" i="2"/>
  <c r="P289" i="2"/>
  <c r="O289" i="2"/>
  <c r="N289" i="2"/>
  <c r="M289" i="2"/>
  <c r="L289" i="2"/>
  <c r="K289" i="2"/>
  <c r="J289" i="2"/>
  <c r="Q288" i="2"/>
  <c r="P288" i="2"/>
  <c r="O288" i="2"/>
  <c r="N288" i="2"/>
  <c r="M288" i="2"/>
  <c r="L288" i="2"/>
  <c r="K288" i="2"/>
  <c r="J288" i="2"/>
  <c r="Q286" i="2"/>
  <c r="P286" i="2"/>
  <c r="O286" i="2"/>
  <c r="N286" i="2"/>
  <c r="M286" i="2"/>
  <c r="L286" i="2"/>
  <c r="K286" i="2"/>
  <c r="J286" i="2"/>
  <c r="Q285" i="2"/>
  <c r="P285" i="2"/>
  <c r="O285" i="2"/>
  <c r="N285" i="2"/>
  <c r="M285" i="2"/>
  <c r="L285" i="2"/>
  <c r="K285" i="2"/>
  <c r="J285" i="2"/>
  <c r="Q284" i="2"/>
  <c r="P284" i="2"/>
  <c r="O284" i="2"/>
  <c r="N284" i="2"/>
  <c r="M284" i="2"/>
  <c r="L284" i="2"/>
  <c r="K284" i="2"/>
  <c r="J284" i="2"/>
  <c r="Q283" i="2"/>
  <c r="P283" i="2"/>
  <c r="O283" i="2"/>
  <c r="N283" i="2"/>
  <c r="M283" i="2"/>
  <c r="L283" i="2"/>
  <c r="K283" i="2"/>
  <c r="J283" i="2"/>
  <c r="Q281" i="2"/>
  <c r="P281" i="2"/>
  <c r="O281" i="2"/>
  <c r="N281" i="2"/>
  <c r="M281" i="2"/>
  <c r="L281" i="2"/>
  <c r="K281" i="2"/>
  <c r="J281" i="2"/>
  <c r="Q280" i="2"/>
  <c r="P280" i="2"/>
  <c r="O280" i="2"/>
  <c r="N280" i="2"/>
  <c r="M280" i="2"/>
  <c r="L280" i="2"/>
  <c r="K280" i="2"/>
  <c r="J280" i="2"/>
  <c r="Q279" i="2"/>
  <c r="P279" i="2"/>
  <c r="O279" i="2"/>
  <c r="N279" i="2"/>
  <c r="M279" i="2"/>
  <c r="L279" i="2"/>
  <c r="K279" i="2"/>
  <c r="J279" i="2"/>
  <c r="Q278" i="2"/>
  <c r="P278" i="2"/>
  <c r="O278" i="2"/>
  <c r="N278" i="2"/>
  <c r="M278" i="2"/>
  <c r="L278" i="2"/>
  <c r="K278" i="2"/>
  <c r="J278" i="2"/>
  <c r="K274" i="2"/>
  <c r="K273" i="2"/>
  <c r="K272" i="2"/>
  <c r="K270" i="2"/>
  <c r="K269" i="2"/>
  <c r="K268" i="2"/>
  <c r="Q266" i="2"/>
  <c r="P266" i="2"/>
  <c r="O266" i="2"/>
  <c r="N266" i="2"/>
  <c r="M266" i="2"/>
  <c r="L266" i="2"/>
  <c r="K266" i="2"/>
  <c r="J266" i="2"/>
  <c r="Q265" i="2"/>
  <c r="P265" i="2"/>
  <c r="O265" i="2"/>
  <c r="N265" i="2"/>
  <c r="M265" i="2"/>
  <c r="L265" i="2"/>
  <c r="K265" i="2"/>
  <c r="J265" i="2"/>
  <c r="Q264" i="2"/>
  <c r="P264" i="2"/>
  <c r="O264" i="2"/>
  <c r="N264" i="2"/>
  <c r="M264" i="2"/>
  <c r="L264" i="2"/>
  <c r="K264" i="2"/>
  <c r="J264" i="2"/>
  <c r="Q262" i="2"/>
  <c r="P262" i="2"/>
  <c r="O262" i="2"/>
  <c r="N262" i="2"/>
  <c r="M262" i="2"/>
  <c r="L262" i="2"/>
  <c r="K262" i="2"/>
  <c r="J262" i="2"/>
  <c r="Q261" i="2"/>
  <c r="P261" i="2"/>
  <c r="O261" i="2"/>
  <c r="N261" i="2"/>
  <c r="M261" i="2"/>
  <c r="L261" i="2"/>
  <c r="K261" i="2"/>
  <c r="J261" i="2"/>
  <c r="Q260" i="2"/>
  <c r="P260" i="2"/>
  <c r="O260" i="2"/>
  <c r="N260" i="2"/>
  <c r="M260" i="2"/>
  <c r="L260" i="2"/>
  <c r="K260" i="2"/>
  <c r="J260" i="2"/>
  <c r="Q259" i="2"/>
  <c r="P259" i="2"/>
  <c r="O259" i="2"/>
  <c r="N259" i="2"/>
  <c r="M259" i="2"/>
  <c r="L259" i="2"/>
  <c r="K259" i="2"/>
  <c r="J259" i="2"/>
  <c r="Q257" i="2"/>
  <c r="P257" i="2"/>
  <c r="O257" i="2"/>
  <c r="N257" i="2"/>
  <c r="M257" i="2"/>
  <c r="L257" i="2"/>
  <c r="K257" i="2"/>
  <c r="J257" i="2"/>
  <c r="Q256" i="2"/>
  <c r="P256" i="2"/>
  <c r="O256" i="2"/>
  <c r="N256" i="2"/>
  <c r="M256" i="2"/>
  <c r="L256" i="2"/>
  <c r="K256" i="2"/>
  <c r="J256" i="2"/>
  <c r="Q255" i="2"/>
  <c r="P255" i="2"/>
  <c r="O255" i="2"/>
  <c r="N255" i="2"/>
  <c r="M255" i="2"/>
  <c r="L255" i="2"/>
  <c r="K255" i="2"/>
  <c r="J255" i="2"/>
  <c r="Q254" i="2"/>
  <c r="P254" i="2"/>
  <c r="O254" i="2"/>
  <c r="N254" i="2"/>
  <c r="M254" i="2"/>
  <c r="L254" i="2"/>
  <c r="K254" i="2"/>
  <c r="J254" i="2"/>
  <c r="K242" i="2"/>
  <c r="K241" i="2"/>
  <c r="K240" i="2"/>
  <c r="K234" i="2"/>
  <c r="K233" i="2"/>
  <c r="K232" i="2"/>
  <c r="K231" i="2"/>
  <c r="Q229" i="2"/>
  <c r="P229" i="2"/>
  <c r="O229" i="2"/>
  <c r="N229" i="2"/>
  <c r="M229" i="2"/>
  <c r="L229" i="2"/>
  <c r="K229" i="2"/>
  <c r="J229" i="2"/>
  <c r="Q228" i="2"/>
  <c r="P228" i="2"/>
  <c r="O228" i="2"/>
  <c r="N228" i="2"/>
  <c r="M228" i="2"/>
  <c r="L228" i="2"/>
  <c r="K228" i="2"/>
  <c r="J228" i="2"/>
  <c r="Q227" i="2"/>
  <c r="P227" i="2"/>
  <c r="O227" i="2"/>
  <c r="N227" i="2"/>
  <c r="M227" i="2"/>
  <c r="L227" i="2"/>
  <c r="K227" i="2"/>
  <c r="J227" i="2"/>
  <c r="Q226" i="2"/>
  <c r="P226" i="2"/>
  <c r="O226" i="2"/>
  <c r="N226" i="2"/>
  <c r="M226" i="2"/>
  <c r="L226" i="2"/>
  <c r="K226" i="2"/>
  <c r="J226" i="2"/>
  <c r="Q224" i="2"/>
  <c r="P224" i="2"/>
  <c r="O224" i="2"/>
  <c r="N224" i="2"/>
  <c r="M224" i="2"/>
  <c r="L224" i="2"/>
  <c r="K224" i="2"/>
  <c r="J224" i="2"/>
  <c r="Q223" i="2"/>
  <c r="P223" i="2"/>
  <c r="O223" i="2"/>
  <c r="N223" i="2"/>
  <c r="M223" i="2"/>
  <c r="L223" i="2"/>
  <c r="K223" i="2"/>
  <c r="J223" i="2"/>
  <c r="Q222" i="2"/>
  <c r="P222" i="2"/>
  <c r="O222" i="2"/>
  <c r="N222" i="2"/>
  <c r="M222" i="2"/>
  <c r="L222" i="2"/>
  <c r="K222" i="2"/>
  <c r="J222" i="2"/>
  <c r="Q220" i="2"/>
  <c r="P220" i="2"/>
  <c r="O220" i="2"/>
  <c r="N220" i="2"/>
  <c r="M220" i="2"/>
  <c r="L220" i="2"/>
  <c r="K220" i="2"/>
  <c r="J220" i="2"/>
  <c r="Q219" i="2"/>
  <c r="P219" i="2"/>
  <c r="O219" i="2"/>
  <c r="N219" i="2"/>
  <c r="M219" i="2"/>
  <c r="L219" i="2"/>
  <c r="K219" i="2"/>
  <c r="J219" i="2"/>
  <c r="Q218" i="2"/>
  <c r="P218" i="2"/>
  <c r="O218" i="2"/>
  <c r="N218" i="2"/>
  <c r="M218" i="2"/>
  <c r="L218" i="2"/>
  <c r="K218" i="2"/>
  <c r="J218" i="2"/>
  <c r="Q213" i="2"/>
  <c r="P213" i="2"/>
  <c r="O213" i="2"/>
  <c r="N213" i="2"/>
  <c r="M213" i="2"/>
  <c r="L213" i="2"/>
  <c r="K213" i="2"/>
  <c r="J213" i="2"/>
  <c r="Q211" i="2"/>
  <c r="P211" i="2"/>
  <c r="O211" i="2"/>
  <c r="N211" i="2"/>
  <c r="M211" i="2"/>
  <c r="L211" i="2"/>
  <c r="K211" i="2"/>
  <c r="J211" i="2"/>
  <c r="Q210" i="2"/>
  <c r="P210" i="2"/>
  <c r="O210" i="2"/>
  <c r="N210" i="2"/>
  <c r="M210" i="2"/>
  <c r="L210" i="2"/>
  <c r="K210" i="2"/>
  <c r="J210" i="2"/>
  <c r="Q209" i="2"/>
  <c r="P209" i="2"/>
  <c r="O209" i="2"/>
  <c r="N209" i="2"/>
  <c r="M209" i="2"/>
  <c r="L209" i="2"/>
  <c r="K209" i="2"/>
  <c r="J209" i="2"/>
  <c r="Q207" i="2"/>
  <c r="P207" i="2"/>
  <c r="O207" i="2"/>
  <c r="N207" i="2"/>
  <c r="M207" i="2"/>
  <c r="L207" i="2"/>
  <c r="K207" i="2"/>
  <c r="J207" i="2"/>
  <c r="Q206" i="2"/>
  <c r="P206" i="2"/>
  <c r="O206" i="2"/>
  <c r="N206" i="2"/>
  <c r="M206" i="2"/>
  <c r="L206" i="2"/>
  <c r="K206" i="2"/>
  <c r="J206" i="2"/>
  <c r="Q205" i="2"/>
  <c r="P205" i="2"/>
  <c r="O205" i="2"/>
  <c r="N205" i="2"/>
  <c r="M205" i="2"/>
  <c r="L205" i="2"/>
  <c r="K205" i="2"/>
  <c r="J205" i="2"/>
  <c r="Q203" i="2"/>
  <c r="P203" i="2"/>
  <c r="O203" i="2"/>
  <c r="N203" i="2"/>
  <c r="M203" i="2"/>
  <c r="L203" i="2"/>
  <c r="K203" i="2"/>
  <c r="J203" i="2"/>
  <c r="Q202" i="2"/>
  <c r="P202" i="2"/>
  <c r="O202" i="2"/>
  <c r="N202" i="2"/>
  <c r="M202" i="2"/>
  <c r="L202" i="2"/>
  <c r="K202" i="2"/>
  <c r="J202" i="2"/>
  <c r="Q201" i="2"/>
  <c r="P201" i="2"/>
  <c r="O201" i="2"/>
  <c r="N201" i="2"/>
  <c r="M201" i="2"/>
  <c r="L201" i="2"/>
  <c r="K201" i="2"/>
  <c r="J201" i="2"/>
  <c r="Q200" i="2"/>
  <c r="P200" i="2"/>
  <c r="O200" i="2"/>
  <c r="N200" i="2"/>
  <c r="M200" i="2"/>
  <c r="L200" i="2"/>
  <c r="K200" i="2"/>
  <c r="J200" i="2"/>
  <c r="Q198" i="2"/>
  <c r="P198" i="2"/>
  <c r="O198" i="2"/>
  <c r="N198" i="2"/>
  <c r="M198" i="2"/>
  <c r="L198" i="2"/>
  <c r="K198" i="2"/>
  <c r="J198" i="2"/>
  <c r="Q197" i="2"/>
  <c r="P197" i="2"/>
  <c r="O197" i="2"/>
  <c r="N197" i="2"/>
  <c r="M197" i="2"/>
  <c r="L197" i="2"/>
  <c r="K197" i="2"/>
  <c r="J197" i="2"/>
  <c r="Q196" i="2"/>
  <c r="P196" i="2"/>
  <c r="O196" i="2"/>
  <c r="N196" i="2"/>
  <c r="M196" i="2"/>
  <c r="L196" i="2"/>
  <c r="K196" i="2"/>
  <c r="J196" i="2"/>
  <c r="Q195" i="2"/>
  <c r="P195" i="2"/>
  <c r="O195" i="2"/>
  <c r="N195" i="2"/>
  <c r="M195" i="2"/>
  <c r="L195" i="2"/>
  <c r="K195" i="2"/>
  <c r="J195" i="2"/>
  <c r="K191" i="2"/>
  <c r="K190" i="2"/>
  <c r="K189" i="2"/>
  <c r="K187" i="2"/>
  <c r="K186" i="2"/>
  <c r="K185" i="2"/>
  <c r="Q183" i="2"/>
  <c r="P183" i="2"/>
  <c r="O183" i="2"/>
  <c r="N183" i="2"/>
  <c r="M183" i="2"/>
  <c r="L183" i="2"/>
  <c r="K183" i="2"/>
  <c r="J183" i="2"/>
  <c r="Q182" i="2"/>
  <c r="P182" i="2"/>
  <c r="O182" i="2"/>
  <c r="N182" i="2"/>
  <c r="M182" i="2"/>
  <c r="L182" i="2"/>
  <c r="K182" i="2"/>
  <c r="J182" i="2"/>
  <c r="Q181" i="2"/>
  <c r="P181" i="2"/>
  <c r="O181" i="2"/>
  <c r="N181" i="2"/>
  <c r="M181" i="2"/>
  <c r="L181" i="2"/>
  <c r="K181" i="2"/>
  <c r="J181" i="2"/>
  <c r="Q179" i="2"/>
  <c r="P179" i="2"/>
  <c r="O179" i="2"/>
  <c r="N179" i="2"/>
  <c r="M179" i="2"/>
  <c r="L179" i="2"/>
  <c r="K179" i="2"/>
  <c r="J179" i="2"/>
  <c r="Q178" i="2"/>
  <c r="P178" i="2"/>
  <c r="O178" i="2"/>
  <c r="N178" i="2"/>
  <c r="M178" i="2"/>
  <c r="L178" i="2"/>
  <c r="K178" i="2"/>
  <c r="J178" i="2"/>
  <c r="Q177" i="2"/>
  <c r="P177" i="2"/>
  <c r="O177" i="2"/>
  <c r="N177" i="2"/>
  <c r="M177" i="2"/>
  <c r="L177" i="2"/>
  <c r="K177" i="2"/>
  <c r="J177" i="2"/>
  <c r="Q176" i="2"/>
  <c r="P176" i="2"/>
  <c r="O176" i="2"/>
  <c r="N176" i="2"/>
  <c r="M176" i="2"/>
  <c r="L176" i="2"/>
  <c r="K176" i="2"/>
  <c r="J176" i="2"/>
  <c r="Q174" i="2"/>
  <c r="P174" i="2"/>
  <c r="O174" i="2"/>
  <c r="N174" i="2"/>
  <c r="M174" i="2"/>
  <c r="L174" i="2"/>
  <c r="K174" i="2"/>
  <c r="J174" i="2"/>
  <c r="Q173" i="2"/>
  <c r="P173" i="2"/>
  <c r="O173" i="2"/>
  <c r="N173" i="2"/>
  <c r="M173" i="2"/>
  <c r="L173" i="2"/>
  <c r="K173" i="2"/>
  <c r="J173" i="2"/>
  <c r="Q172" i="2"/>
  <c r="P172" i="2"/>
  <c r="O172" i="2"/>
  <c r="N172" i="2"/>
  <c r="M172" i="2"/>
  <c r="L172" i="2"/>
  <c r="K172" i="2"/>
  <c r="J172" i="2"/>
  <c r="Q171" i="2"/>
  <c r="P171" i="2"/>
  <c r="O171" i="2"/>
  <c r="N171" i="2"/>
  <c r="M171" i="2"/>
  <c r="L171" i="2"/>
  <c r="K171" i="2"/>
  <c r="J171" i="2"/>
  <c r="Q164" i="2"/>
  <c r="P164" i="2"/>
  <c r="Q163" i="2"/>
  <c r="P163" i="2"/>
  <c r="Q162" i="2"/>
  <c r="P162" i="2"/>
  <c r="Q161" i="2"/>
  <c r="P161" i="2"/>
  <c r="Q159" i="2"/>
  <c r="P159" i="2"/>
  <c r="Q158" i="2"/>
  <c r="P158" i="2"/>
  <c r="Q157" i="2"/>
  <c r="P157" i="2"/>
  <c r="Q156" i="2"/>
  <c r="P156" i="2"/>
  <c r="K152" i="2"/>
  <c r="K151" i="2"/>
  <c r="K150" i="2"/>
  <c r="K148" i="2"/>
  <c r="K147" i="2"/>
  <c r="K146" i="2"/>
  <c r="Q144" i="2"/>
  <c r="P144" i="2"/>
  <c r="Q143" i="2"/>
  <c r="P143" i="2"/>
  <c r="Q142" i="2"/>
  <c r="P142" i="2"/>
  <c r="Q141" i="2"/>
  <c r="P141" i="2"/>
  <c r="Q139" i="2"/>
  <c r="P139" i="2"/>
  <c r="Q138" i="2"/>
  <c r="P138" i="2"/>
  <c r="Q137" i="2"/>
  <c r="P137" i="2"/>
  <c r="Q136" i="2"/>
  <c r="P136" i="2"/>
  <c r="Q133" i="2"/>
  <c r="P133" i="2"/>
  <c r="O133" i="2"/>
  <c r="N133" i="2"/>
  <c r="M133" i="2"/>
  <c r="L133" i="2"/>
  <c r="K133" i="2"/>
  <c r="J133" i="2"/>
  <c r="Q132" i="2"/>
  <c r="P132" i="2"/>
  <c r="O132" i="2"/>
  <c r="N132" i="2"/>
  <c r="M132" i="2"/>
  <c r="L132" i="2"/>
  <c r="K132" i="2"/>
  <c r="J132" i="2"/>
  <c r="Q131" i="2"/>
  <c r="P131" i="2"/>
  <c r="O131" i="2"/>
  <c r="N131" i="2"/>
  <c r="M131" i="2"/>
  <c r="L131" i="2"/>
  <c r="K131" i="2"/>
  <c r="J131" i="2"/>
  <c r="Q130" i="2"/>
  <c r="P130" i="2"/>
  <c r="O130" i="2"/>
  <c r="N130" i="2"/>
  <c r="M130" i="2"/>
  <c r="L130" i="2"/>
  <c r="K130" i="2"/>
  <c r="J130" i="2"/>
  <c r="Q129" i="2"/>
  <c r="P129" i="2"/>
  <c r="O129" i="2"/>
  <c r="N129" i="2"/>
  <c r="M129" i="2"/>
  <c r="L129" i="2"/>
  <c r="K129" i="2"/>
  <c r="J129" i="2"/>
  <c r="Q127" i="2"/>
  <c r="P127" i="2"/>
  <c r="O127" i="2"/>
  <c r="N127" i="2"/>
  <c r="M127" i="2"/>
  <c r="L127" i="2"/>
  <c r="K127" i="2"/>
  <c r="J127" i="2"/>
  <c r="Q126" i="2"/>
  <c r="P126" i="2"/>
  <c r="O126" i="2"/>
  <c r="N126" i="2"/>
  <c r="M126" i="2"/>
  <c r="L126" i="2"/>
  <c r="K126" i="2"/>
  <c r="J126" i="2"/>
  <c r="Q125" i="2"/>
  <c r="P125" i="2"/>
  <c r="O125" i="2"/>
  <c r="N125" i="2"/>
  <c r="M125" i="2"/>
  <c r="L125" i="2"/>
  <c r="K125" i="2"/>
  <c r="J125" i="2"/>
  <c r="Q124" i="2"/>
  <c r="P124" i="2"/>
  <c r="O124" i="2"/>
  <c r="N124" i="2"/>
  <c r="M124" i="2"/>
  <c r="L124" i="2"/>
  <c r="K124" i="2"/>
  <c r="J124" i="2"/>
  <c r="Q122" i="2"/>
  <c r="P122" i="2"/>
  <c r="O122" i="2"/>
  <c r="N122" i="2"/>
  <c r="M122" i="2"/>
  <c r="L122" i="2"/>
  <c r="K122" i="2"/>
  <c r="J122" i="2"/>
  <c r="Q121" i="2"/>
  <c r="P121" i="2"/>
  <c r="O121" i="2"/>
  <c r="N121" i="2"/>
  <c r="M121" i="2"/>
  <c r="L121" i="2"/>
  <c r="K121" i="2"/>
  <c r="J121" i="2"/>
  <c r="Q120" i="2"/>
  <c r="P120" i="2"/>
  <c r="O120" i="2"/>
  <c r="N120" i="2"/>
  <c r="M120" i="2"/>
  <c r="L120" i="2"/>
  <c r="K120" i="2"/>
  <c r="J120" i="2"/>
  <c r="Q119" i="2"/>
  <c r="P119" i="2"/>
  <c r="O119" i="2"/>
  <c r="N119" i="2"/>
  <c r="M119" i="2"/>
  <c r="L119" i="2"/>
  <c r="K119" i="2"/>
  <c r="J119" i="2"/>
  <c r="Q118" i="2"/>
  <c r="P118" i="2"/>
  <c r="O118" i="2"/>
  <c r="N118" i="2"/>
  <c r="M118" i="2"/>
  <c r="L118" i="2"/>
  <c r="K118" i="2"/>
  <c r="J118" i="2"/>
  <c r="Q116" i="2"/>
  <c r="P116" i="2"/>
  <c r="O116" i="2"/>
  <c r="N116" i="2"/>
  <c r="M116" i="2"/>
  <c r="L116" i="2"/>
  <c r="K116" i="2"/>
  <c r="J116" i="2"/>
  <c r="Q115" i="2"/>
  <c r="P115" i="2"/>
  <c r="O115" i="2"/>
  <c r="N115" i="2"/>
  <c r="M115" i="2"/>
  <c r="L115" i="2"/>
  <c r="K115" i="2"/>
  <c r="J115" i="2"/>
  <c r="Q114" i="2"/>
  <c r="P114" i="2"/>
  <c r="O114" i="2"/>
  <c r="N114" i="2"/>
  <c r="M114" i="2"/>
  <c r="L114" i="2"/>
  <c r="K114" i="2"/>
  <c r="J114" i="2"/>
  <c r="Q113" i="2"/>
  <c r="P113" i="2"/>
  <c r="O113" i="2"/>
  <c r="N113" i="2"/>
  <c r="M113" i="2"/>
  <c r="L113" i="2"/>
  <c r="K113" i="2"/>
  <c r="J113" i="2"/>
  <c r="Q112" i="2"/>
  <c r="P112" i="2"/>
  <c r="O112" i="2"/>
  <c r="N112" i="2"/>
  <c r="M112" i="2"/>
  <c r="L112" i="2"/>
  <c r="K112" i="2"/>
  <c r="J112" i="2"/>
  <c r="Q110" i="2"/>
  <c r="P110" i="2"/>
  <c r="O110" i="2"/>
  <c r="N110" i="2"/>
  <c r="M110" i="2"/>
  <c r="L110" i="2"/>
  <c r="K110" i="2"/>
  <c r="J110" i="2"/>
  <c r="Q109" i="2"/>
  <c r="P109" i="2"/>
  <c r="O109" i="2"/>
  <c r="N109" i="2"/>
  <c r="M109" i="2"/>
  <c r="L109" i="2"/>
  <c r="K109" i="2"/>
  <c r="J109" i="2"/>
  <c r="Q108" i="2"/>
  <c r="P108" i="2"/>
  <c r="O108" i="2"/>
  <c r="N108" i="2"/>
  <c r="M108" i="2"/>
  <c r="L108" i="2"/>
  <c r="K108" i="2"/>
  <c r="J108" i="2"/>
  <c r="Q107" i="2"/>
  <c r="P107" i="2"/>
  <c r="O107" i="2"/>
  <c r="N107" i="2"/>
  <c r="M107" i="2"/>
  <c r="L107" i="2"/>
  <c r="K107" i="2"/>
  <c r="J107" i="2"/>
  <c r="Q105" i="2"/>
  <c r="P105" i="2"/>
  <c r="O105" i="2"/>
  <c r="N105" i="2"/>
  <c r="M105" i="2"/>
  <c r="L105" i="2"/>
  <c r="K105" i="2"/>
  <c r="J105" i="2"/>
  <c r="Q104" i="2"/>
  <c r="P104" i="2"/>
  <c r="O104" i="2"/>
  <c r="N104" i="2"/>
  <c r="M104" i="2"/>
  <c r="L104" i="2"/>
  <c r="K104" i="2"/>
  <c r="J104" i="2"/>
  <c r="Q103" i="2"/>
  <c r="P103" i="2"/>
  <c r="O103" i="2"/>
  <c r="N103" i="2"/>
  <c r="M103" i="2"/>
  <c r="L103" i="2"/>
  <c r="K103" i="2"/>
  <c r="J103" i="2"/>
  <c r="Q102" i="2"/>
  <c r="P102" i="2"/>
  <c r="O102" i="2"/>
  <c r="N102" i="2"/>
  <c r="M102" i="2"/>
  <c r="L102" i="2"/>
  <c r="K102" i="2"/>
  <c r="J102" i="2"/>
  <c r="Q101" i="2"/>
  <c r="P101" i="2"/>
  <c r="O101" i="2"/>
  <c r="N101" i="2"/>
  <c r="M101" i="2"/>
  <c r="L101" i="2"/>
  <c r="K101" i="2"/>
  <c r="J101" i="2"/>
  <c r="Q94" i="2"/>
  <c r="P94" i="2"/>
  <c r="O94" i="2"/>
  <c r="N94" i="2"/>
  <c r="M94" i="2"/>
  <c r="L94" i="2"/>
  <c r="K94" i="2"/>
  <c r="J94" i="2"/>
  <c r="Q93" i="2"/>
  <c r="P93" i="2"/>
  <c r="O93" i="2"/>
  <c r="N93" i="2"/>
  <c r="M93" i="2"/>
  <c r="L93" i="2"/>
  <c r="K93" i="2"/>
  <c r="J93" i="2"/>
  <c r="Q92" i="2"/>
  <c r="P92" i="2"/>
  <c r="O92" i="2"/>
  <c r="N92" i="2"/>
  <c r="M92" i="2"/>
  <c r="L92" i="2"/>
  <c r="K92" i="2"/>
  <c r="J92" i="2"/>
  <c r="Q91" i="2"/>
  <c r="P91" i="2"/>
  <c r="O91" i="2"/>
  <c r="N91" i="2"/>
  <c r="M91" i="2"/>
  <c r="L91" i="2"/>
  <c r="K91" i="2"/>
  <c r="J91" i="2"/>
  <c r="Q89" i="2"/>
  <c r="P89" i="2"/>
  <c r="O89" i="2"/>
  <c r="N89" i="2"/>
  <c r="M89" i="2"/>
  <c r="L89" i="2"/>
  <c r="K89" i="2"/>
  <c r="J89" i="2"/>
  <c r="Q88" i="2"/>
  <c r="P88" i="2"/>
  <c r="O88" i="2"/>
  <c r="N88" i="2"/>
  <c r="M88" i="2"/>
  <c r="L88" i="2"/>
  <c r="K88" i="2"/>
  <c r="J88" i="2"/>
  <c r="Q87" i="2"/>
  <c r="P87" i="2"/>
  <c r="O87" i="2"/>
  <c r="N87" i="2"/>
  <c r="M87" i="2"/>
  <c r="L87" i="2"/>
  <c r="K87" i="2"/>
  <c r="J87" i="2"/>
  <c r="Q86" i="2"/>
  <c r="P86" i="2"/>
  <c r="O86" i="2"/>
  <c r="N86" i="2"/>
  <c r="M86" i="2"/>
  <c r="L86" i="2"/>
  <c r="K86" i="2"/>
  <c r="J86" i="2"/>
  <c r="Q79" i="2"/>
  <c r="P79" i="2"/>
  <c r="O79" i="2"/>
  <c r="N79" i="2"/>
  <c r="M79" i="2"/>
  <c r="L79" i="2"/>
  <c r="K79" i="2"/>
  <c r="J79" i="2"/>
  <c r="Q78" i="2"/>
  <c r="P78" i="2"/>
  <c r="O78" i="2"/>
  <c r="N78" i="2"/>
  <c r="M78" i="2"/>
  <c r="L78" i="2"/>
  <c r="K78" i="2"/>
  <c r="J78" i="2"/>
  <c r="Q77" i="2"/>
  <c r="P77" i="2"/>
  <c r="O77" i="2"/>
  <c r="N77" i="2"/>
  <c r="M77" i="2"/>
  <c r="L77" i="2"/>
  <c r="K77" i="2"/>
  <c r="J77" i="2"/>
  <c r="Q76" i="2"/>
  <c r="P76" i="2"/>
  <c r="O76" i="2"/>
  <c r="N76" i="2"/>
  <c r="M76" i="2"/>
  <c r="L76" i="2"/>
  <c r="K76" i="2"/>
  <c r="J76" i="2"/>
  <c r="Q70" i="2"/>
  <c r="P70" i="2"/>
  <c r="O70" i="2"/>
  <c r="N70" i="2"/>
  <c r="M70" i="2"/>
  <c r="L70" i="2"/>
  <c r="K70" i="2"/>
  <c r="J70" i="2"/>
  <c r="Q69" i="2"/>
  <c r="P69" i="2"/>
  <c r="O69" i="2"/>
  <c r="N69" i="2"/>
  <c r="M69" i="2"/>
  <c r="L69" i="2"/>
  <c r="K69" i="2"/>
  <c r="J69" i="2"/>
  <c r="Q67" i="2"/>
  <c r="P67" i="2"/>
  <c r="O67" i="2"/>
  <c r="N67" i="2"/>
  <c r="M67" i="2"/>
  <c r="L67" i="2"/>
  <c r="K67" i="2"/>
  <c r="J67" i="2"/>
  <c r="Q66" i="2"/>
  <c r="P66" i="2"/>
  <c r="O66" i="2"/>
  <c r="N66" i="2"/>
  <c r="M66" i="2"/>
  <c r="L66" i="2"/>
  <c r="K66" i="2"/>
  <c r="J66" i="2"/>
  <c r="Q65" i="2"/>
  <c r="P65" i="2"/>
  <c r="O65" i="2"/>
  <c r="N65" i="2"/>
  <c r="M65" i="2"/>
  <c r="L65" i="2"/>
  <c r="K65" i="2"/>
  <c r="J65" i="2"/>
  <c r="Q64" i="2"/>
  <c r="P64" i="2"/>
  <c r="O64" i="2"/>
  <c r="N64" i="2"/>
  <c r="M64" i="2"/>
  <c r="L64" i="2"/>
  <c r="K64" i="2"/>
  <c r="J64" i="2"/>
  <c r="Q59" i="2"/>
  <c r="P59" i="2"/>
  <c r="O59" i="2"/>
  <c r="N59" i="2"/>
  <c r="M59" i="2"/>
  <c r="L59" i="2"/>
  <c r="K59" i="2"/>
  <c r="J59" i="2"/>
  <c r="Q58" i="2"/>
  <c r="P58" i="2"/>
  <c r="O58" i="2"/>
  <c r="N58" i="2"/>
  <c r="M58" i="2"/>
  <c r="L58" i="2"/>
  <c r="K58" i="2"/>
  <c r="J58" i="2"/>
  <c r="Q57" i="2"/>
  <c r="P57" i="2"/>
  <c r="O57" i="2"/>
  <c r="N57" i="2"/>
  <c r="M57" i="2"/>
  <c r="L57" i="2"/>
  <c r="K57" i="2"/>
  <c r="J57" i="2"/>
  <c r="Q56" i="2"/>
  <c r="P56" i="2"/>
  <c r="O56" i="2"/>
  <c r="N56" i="2"/>
  <c r="M56" i="2"/>
  <c r="L56" i="2"/>
  <c r="K56" i="2"/>
  <c r="J56" i="2"/>
  <c r="Q51" i="2"/>
  <c r="P51" i="2"/>
  <c r="O51" i="2"/>
  <c r="N51" i="2"/>
  <c r="M51" i="2"/>
  <c r="L51" i="2"/>
  <c r="K51" i="2"/>
  <c r="J51" i="2"/>
  <c r="Q49" i="2"/>
  <c r="P49" i="2"/>
  <c r="O49" i="2"/>
  <c r="N49" i="2"/>
  <c r="M49" i="2"/>
  <c r="L49" i="2"/>
  <c r="K49" i="2"/>
  <c r="J49" i="2"/>
  <c r="Q48" i="2"/>
  <c r="P48" i="2"/>
  <c r="O48" i="2"/>
  <c r="N48" i="2"/>
  <c r="M48" i="2"/>
  <c r="L48" i="2"/>
  <c r="K48" i="2"/>
  <c r="J48" i="2"/>
  <c r="Q47" i="2"/>
  <c r="P47" i="2"/>
  <c r="O47" i="2"/>
  <c r="N47" i="2"/>
  <c r="M47" i="2"/>
  <c r="L47" i="2"/>
  <c r="K47" i="2"/>
  <c r="J47" i="2"/>
  <c r="Q46" i="2"/>
  <c r="P46" i="2"/>
  <c r="O46" i="2"/>
  <c r="N46" i="2"/>
  <c r="M46" i="2"/>
  <c r="L46" i="2"/>
  <c r="K46" i="2"/>
  <c r="J46" i="2"/>
  <c r="Q44" i="2"/>
  <c r="P44" i="2"/>
  <c r="O44" i="2"/>
  <c r="N44" i="2"/>
  <c r="M44" i="2"/>
  <c r="L44" i="2"/>
  <c r="K44" i="2"/>
  <c r="J44" i="2"/>
  <c r="Q43" i="2"/>
  <c r="P43" i="2"/>
  <c r="O43" i="2"/>
  <c r="N43" i="2"/>
  <c r="M43" i="2"/>
  <c r="L43" i="2"/>
  <c r="K43" i="2"/>
  <c r="J43" i="2"/>
  <c r="Q42" i="2"/>
  <c r="P42" i="2"/>
  <c r="O42" i="2"/>
  <c r="N42" i="2"/>
  <c r="M42" i="2"/>
  <c r="L42" i="2"/>
  <c r="K42" i="2"/>
  <c r="J42" i="2"/>
  <c r="Q41" i="2"/>
  <c r="P41" i="2"/>
  <c r="O41" i="2"/>
  <c r="N41" i="2"/>
  <c r="M41" i="2"/>
  <c r="L41" i="2"/>
  <c r="K41" i="2"/>
  <c r="J41" i="2"/>
  <c r="Q35" i="2"/>
  <c r="P35" i="2"/>
  <c r="O35" i="2"/>
  <c r="N35" i="2"/>
  <c r="M35" i="2"/>
  <c r="L35" i="2"/>
  <c r="K35" i="2"/>
  <c r="J35" i="2"/>
  <c r="Q34" i="2"/>
  <c r="P34" i="2"/>
  <c r="O34" i="2"/>
  <c r="N34" i="2"/>
  <c r="M34" i="2"/>
  <c r="L34" i="2"/>
  <c r="K34" i="2"/>
  <c r="J34" i="2"/>
  <c r="Q33" i="2"/>
  <c r="P33" i="2"/>
  <c r="O33" i="2"/>
  <c r="N33" i="2"/>
  <c r="M33" i="2"/>
  <c r="L33" i="2"/>
  <c r="K33" i="2"/>
  <c r="J33" i="2"/>
  <c r="Q32" i="2"/>
  <c r="P32" i="2"/>
  <c r="O32" i="2"/>
  <c r="N32" i="2"/>
  <c r="M32" i="2"/>
  <c r="L32" i="2"/>
  <c r="K32" i="2"/>
  <c r="J32" i="2"/>
  <c r="Q31" i="2"/>
  <c r="P31" i="2"/>
  <c r="O31" i="2"/>
  <c r="N31" i="2"/>
  <c r="M31" i="2"/>
  <c r="L31" i="2"/>
  <c r="K31" i="2"/>
  <c r="J31" i="2"/>
  <c r="Q29" i="2"/>
  <c r="P29" i="2"/>
  <c r="O29" i="2"/>
  <c r="N29" i="2"/>
  <c r="M29" i="2"/>
  <c r="L29" i="2"/>
  <c r="K29" i="2"/>
  <c r="J29" i="2"/>
  <c r="Q28" i="2"/>
  <c r="P28" i="2"/>
  <c r="O28" i="2"/>
  <c r="N28" i="2"/>
  <c r="M28" i="2"/>
  <c r="L28" i="2"/>
  <c r="K28" i="2"/>
  <c r="J28" i="2"/>
  <c r="Q27" i="2"/>
  <c r="P27" i="2"/>
  <c r="O27" i="2"/>
  <c r="N27" i="2"/>
  <c r="M27" i="2"/>
  <c r="L27" i="2"/>
  <c r="K27" i="2"/>
  <c r="J27" i="2"/>
  <c r="Q26" i="2"/>
  <c r="P26" i="2"/>
  <c r="O26" i="2"/>
  <c r="N26" i="2"/>
  <c r="M26" i="2"/>
  <c r="L26" i="2"/>
  <c r="K26" i="2"/>
  <c r="J26" i="2"/>
  <c r="Q25" i="2"/>
  <c r="P25" i="2"/>
  <c r="O25" i="2"/>
  <c r="N25" i="2"/>
  <c r="M25" i="2"/>
  <c r="L25" i="2"/>
  <c r="K25" i="2"/>
  <c r="J25" i="2"/>
  <c r="Q23" i="2"/>
  <c r="P23" i="2"/>
  <c r="O23" i="2"/>
  <c r="N23" i="2"/>
  <c r="M23" i="2"/>
  <c r="L23" i="2"/>
  <c r="K23" i="2"/>
  <c r="J23" i="2"/>
  <c r="Q22" i="2"/>
  <c r="P22" i="2"/>
  <c r="O22" i="2"/>
  <c r="N22" i="2"/>
  <c r="M22" i="2"/>
  <c r="L22" i="2"/>
  <c r="K22" i="2"/>
  <c r="J22" i="2"/>
  <c r="Q21" i="2"/>
  <c r="P21" i="2"/>
  <c r="O21" i="2"/>
  <c r="N21" i="2"/>
  <c r="M21" i="2"/>
  <c r="L21" i="2"/>
  <c r="K21" i="2"/>
  <c r="J21" i="2"/>
  <c r="Q20" i="2"/>
  <c r="P20" i="2"/>
  <c r="O20" i="2"/>
  <c r="N20" i="2"/>
  <c r="M20" i="2"/>
  <c r="L20" i="2"/>
  <c r="K20" i="2"/>
  <c r="J20" i="2"/>
  <c r="Q19" i="2"/>
  <c r="P19" i="2"/>
  <c r="O19" i="2"/>
  <c r="N19" i="2"/>
  <c r="M19" i="2"/>
  <c r="L19" i="2"/>
  <c r="K19" i="2"/>
  <c r="J19" i="2"/>
  <c r="Q17" i="2"/>
  <c r="P17" i="2"/>
  <c r="O17" i="2"/>
  <c r="N17" i="2"/>
  <c r="M17" i="2"/>
  <c r="L17" i="2"/>
  <c r="K17" i="2"/>
  <c r="J17" i="2"/>
  <c r="Q16" i="2"/>
  <c r="P16" i="2"/>
  <c r="O16" i="2"/>
  <c r="N16" i="2"/>
  <c r="M16" i="2"/>
  <c r="L16" i="2"/>
  <c r="K16" i="2"/>
  <c r="J16" i="2"/>
  <c r="Q15" i="2"/>
  <c r="P15" i="2"/>
  <c r="O15" i="2"/>
  <c r="N15" i="2"/>
  <c r="M15" i="2"/>
  <c r="L15" i="2"/>
  <c r="K15" i="2"/>
  <c r="J15" i="2"/>
  <c r="Q13" i="2"/>
  <c r="P13" i="2"/>
  <c r="O13" i="2"/>
  <c r="N13" i="2"/>
  <c r="M13" i="2"/>
  <c r="L13" i="2"/>
  <c r="K13" i="2"/>
  <c r="J13" i="2"/>
  <c r="Q12" i="2"/>
  <c r="P12" i="2"/>
  <c r="O12" i="2"/>
  <c r="N12" i="2"/>
  <c r="M12" i="2"/>
  <c r="L12" i="2"/>
  <c r="K12" i="2"/>
  <c r="J12" i="2"/>
  <c r="Q11" i="2"/>
  <c r="P11" i="2"/>
  <c r="O11" i="2"/>
  <c r="N11" i="2"/>
  <c r="M11" i="2"/>
  <c r="L11" i="2"/>
  <c r="K11" i="2"/>
  <c r="J11" i="2"/>
  <c r="Q10" i="2"/>
  <c r="P10" i="2"/>
  <c r="O10" i="2"/>
  <c r="N10" i="2"/>
  <c r="M10" i="2"/>
  <c r="L10" i="2"/>
  <c r="K10" i="2"/>
  <c r="J10" i="2"/>
  <c r="Q9" i="2"/>
  <c r="P9" i="2"/>
  <c r="O9" i="2"/>
  <c r="N9" i="2"/>
  <c r="M9" i="2"/>
  <c r="L9" i="2"/>
  <c r="K9" i="2"/>
  <c r="J9" i="2"/>
  <c r="Q7" i="2"/>
  <c r="P7" i="2"/>
  <c r="O7" i="2"/>
  <c r="N7" i="2"/>
  <c r="M7" i="2"/>
  <c r="L7" i="2"/>
  <c r="K7" i="2"/>
  <c r="J7" i="2"/>
  <c r="Q6" i="2"/>
  <c r="P6" i="2"/>
  <c r="O6" i="2"/>
  <c r="N6" i="2"/>
  <c r="M6" i="2"/>
  <c r="L6" i="2"/>
  <c r="K6" i="2"/>
  <c r="J6" i="2"/>
  <c r="Q5" i="2"/>
  <c r="P5" i="2"/>
  <c r="O5" i="2"/>
  <c r="N5" i="2"/>
  <c r="M5" i="2"/>
  <c r="L5" i="2"/>
  <c r="K5" i="2"/>
  <c r="J5" i="2"/>
  <c r="Q4" i="2"/>
  <c r="P4" i="2"/>
  <c r="O4" i="2"/>
  <c r="N4" i="2"/>
  <c r="M4" i="2"/>
  <c r="L4" i="2"/>
  <c r="K4" i="2"/>
  <c r="J4" i="2"/>
  <c r="Q3" i="2"/>
  <c r="P3" i="2"/>
  <c r="O3" i="2"/>
  <c r="N3" i="2"/>
  <c r="M3" i="2"/>
  <c r="L3" i="2"/>
  <c r="K3" i="2"/>
  <c r="J3" i="2"/>
</calcChain>
</file>

<file path=xl/sharedStrings.xml><?xml version="1.0" encoding="utf-8"?>
<sst xmlns="http://schemas.openxmlformats.org/spreadsheetml/2006/main" count="7407" uniqueCount="1085">
  <si>
    <t>Orientações:</t>
  </si>
  <si>
    <r>
      <rPr>
        <sz val="12"/>
        <color rgb="FFFF0000"/>
        <rFont val="Aptos"/>
        <family val="2"/>
        <charset val="1"/>
      </rPr>
      <t xml:space="preserve">Peças </t>
    </r>
    <r>
      <rPr>
        <b/>
        <sz val="12"/>
        <color rgb="FFFF0000"/>
        <rFont val="Aptos"/>
        <family val="2"/>
        <charset val="1"/>
      </rPr>
      <t>especiais</t>
    </r>
    <r>
      <rPr>
        <sz val="12"/>
        <color rgb="FFFF0000"/>
        <rFont val="Aptos"/>
        <family val="2"/>
        <charset val="1"/>
      </rPr>
      <t xml:space="preserve"> podem sofrer acréscimo em seu valor.</t>
    </r>
  </si>
  <si>
    <t>Braços quadrados podem ser diminuidos sem custo ou aumentados em até 15cm</t>
  </si>
  <si>
    <t>com custo adicional de 5%.</t>
  </si>
  <si>
    <t>Estruturas (Assentos) podem ser apenas diminuidas (os), sofrendo acréscimo de 10%.</t>
  </si>
  <si>
    <t>Recomendações de conservação:</t>
  </si>
  <si>
    <t xml:space="preserve">Não são de nossa responsabilidade possíveis problemas causados nos tecidos por aplicação de </t>
  </si>
  <si>
    <t>Não expor à luz solar.</t>
  </si>
  <si>
    <t>impermeabilizantes ou qualquer outro produto aplicado após a saída da fábrica.</t>
  </si>
  <si>
    <t>Limpar apenas com espuma de sabão neutro (Ex.: Sabão de côco) com flanela úmida e limpa</t>
  </si>
  <si>
    <t>Evite esfregar em excesso, abrasão excessiva diminui a vida útil do tecido.</t>
  </si>
  <si>
    <t>A Garantia oferecida pela fábrica é de um ano a partir da data</t>
  </si>
  <si>
    <t>Não aplicar produtos químicos.</t>
  </si>
  <si>
    <t>de fabricação do estofado.</t>
  </si>
  <si>
    <t>Não lavar revestimentos de almofadas.</t>
  </si>
  <si>
    <t xml:space="preserve">É caracteristica de todas as espumas amaciar com o uso. </t>
  </si>
  <si>
    <t xml:space="preserve">Capas de estofados devem ser lavadas a seco por pessoal especializado. </t>
  </si>
  <si>
    <t xml:space="preserve">Uma espuma DEFORMA apenas quando não retorna à sua </t>
  </si>
  <si>
    <t>Qualquer outro processo de lavagem poderá ocasionar o encolhimento do tecido impedindo seu reutilização</t>
  </si>
  <si>
    <t>forma original após o alívio da pressão exercida.</t>
  </si>
  <si>
    <t xml:space="preserve">O consumo de tecidos deve ser acrescido de no mínimo 15% quando </t>
  </si>
  <si>
    <t>o tecido fornecido for listrado.</t>
  </si>
  <si>
    <t>CONDIÇÃO DE PAGAMENTO</t>
  </si>
  <si>
    <t>Assento Retrátil</t>
  </si>
  <si>
    <t>É o valor a ser acrescido quando se deseja transformar cada assento fixo em retrátil. Obs.: Sempre que houver essa opção os valores dos estofados correspondem a estofados fixos.</t>
  </si>
  <si>
    <t>ANTECIPADO</t>
  </si>
  <si>
    <t>FRETE FOB</t>
  </si>
  <si>
    <t>A VISTA 10 DD</t>
  </si>
  <si>
    <t>30 DD</t>
  </si>
  <si>
    <t>30/60/90</t>
  </si>
  <si>
    <t>Desconto de Braço</t>
  </si>
  <si>
    <t>Corresponde ao valor a ser descontado quando se deseja remover 01 Braço.</t>
  </si>
  <si>
    <t>30/60/90/120</t>
  </si>
  <si>
    <t>Acréscimo de uma Divisão</t>
  </si>
  <si>
    <t>Corresponde ao valor a ser cobrado em cada divisão de estrutura desejada no sofá. OBS.: Sofás com 03 assentos recomenda-se duas divisões.</t>
  </si>
  <si>
    <t>Canto</t>
  </si>
  <si>
    <t>Peça de Canto usada para unir 02 sofás</t>
  </si>
  <si>
    <t>PRODUTO</t>
  </si>
  <si>
    <t>ESPECIFICAÇÃO</t>
  </si>
  <si>
    <t>MARKUP</t>
  </si>
  <si>
    <t>Alesso - Fixo</t>
  </si>
  <si>
    <t>Medidas</t>
  </si>
  <si>
    <t>M. Tec</t>
  </si>
  <si>
    <t>Tec. Forn.</t>
  </si>
  <si>
    <t>Módulo 120 1Br23cm</t>
  </si>
  <si>
    <t>L</t>
  </si>
  <si>
    <t>1,43</t>
  </si>
  <si>
    <t>P</t>
  </si>
  <si>
    <t>A</t>
  </si>
  <si>
    <t>Módulo 110 1Br23cm</t>
  </si>
  <si>
    <t>1,33</t>
  </si>
  <si>
    <t>Módulo 100 1Br23cm</t>
  </si>
  <si>
    <t>1,23</t>
  </si>
  <si>
    <t xml:space="preserve">Módulo 90 1Br23cm </t>
  </si>
  <si>
    <t>1,13</t>
  </si>
  <si>
    <t xml:space="preserve">Módulo 80 1Br23cm </t>
  </si>
  <si>
    <t>1,03</t>
  </si>
  <si>
    <t xml:space="preserve">Módulo 120 S/Br </t>
  </si>
  <si>
    <t>1,20</t>
  </si>
  <si>
    <t xml:space="preserve">Módulo 110 S/Br </t>
  </si>
  <si>
    <t>1,10</t>
  </si>
  <si>
    <t xml:space="preserve">Módulo 100 S/Br </t>
  </si>
  <si>
    <t>1,00</t>
  </si>
  <si>
    <t xml:space="preserve">Módulo 90 S/Br </t>
  </si>
  <si>
    <t>0,90</t>
  </si>
  <si>
    <t xml:space="preserve">Módulo 80 S/Br </t>
  </si>
  <si>
    <t>0,80</t>
  </si>
  <si>
    <t>Sofá 2Lug 2Ass 2Br</t>
  </si>
  <si>
    <t>2,26</t>
  </si>
  <si>
    <t>2,06</t>
  </si>
  <si>
    <t>1,86</t>
  </si>
  <si>
    <t>Chaise Ass 120 1Br23cm</t>
  </si>
  <si>
    <t>Chaise Ass 110 1Br23cm</t>
  </si>
  <si>
    <t>Chaise Ass 100 1Br23cm</t>
  </si>
  <si>
    <t>Chaise Ass 90 1Br23cm</t>
  </si>
  <si>
    <t>Chaise Ass 80 1Br23cm</t>
  </si>
  <si>
    <t>Recamier Encosto 120</t>
  </si>
  <si>
    <t>1,60</t>
  </si>
  <si>
    <t>Recamier Encosto 110</t>
  </si>
  <si>
    <t>1,50</t>
  </si>
  <si>
    <t>Recamier Encosto 100</t>
  </si>
  <si>
    <t>1,40</t>
  </si>
  <si>
    <t>Recamier Encosto 90</t>
  </si>
  <si>
    <t>1,30</t>
  </si>
  <si>
    <t>Recamier Encosto 80</t>
  </si>
  <si>
    <t xml:space="preserve">                                                     </t>
  </si>
  <si>
    <t>Puff Central</t>
  </si>
  <si>
    <t>Puff Canto</t>
  </si>
  <si>
    <t>Altura Assento c/pés: 0,48m</t>
  </si>
  <si>
    <t>Angra- Retrátil</t>
  </si>
  <si>
    <t>Módulo 120 1Br20cm</t>
  </si>
  <si>
    <t>Módulo 110 1Br20cm</t>
  </si>
  <si>
    <t>Módulo 100 1Br20cm</t>
  </si>
  <si>
    <t xml:space="preserve">Módulo 90 1Br20cm </t>
  </si>
  <si>
    <t>Chaise Ass 120 1R 1A 1Br20</t>
  </si>
  <si>
    <t>Chaise Ass 110 1R 1A 1Br20</t>
  </si>
  <si>
    <t>Chaise Ass 100 1R 1A 1Br20</t>
  </si>
  <si>
    <t>Chaise Ass 90 1R 1A 1Br20</t>
  </si>
  <si>
    <t>Puff</t>
  </si>
  <si>
    <t xml:space="preserve">Organic -Fixo </t>
  </si>
  <si>
    <t xml:space="preserve">Sofá 2Lug 2br </t>
  </si>
  <si>
    <t>Sofá 2Lug 2br</t>
  </si>
  <si>
    <t xml:space="preserve">Sofá 3Lug 2br </t>
  </si>
  <si>
    <t xml:space="preserve">Sofá 4Lug 2br </t>
  </si>
  <si>
    <t>Altura Assento c/pés: 0,42m</t>
  </si>
  <si>
    <t>Gael - Retrátil</t>
  </si>
  <si>
    <t>Módulo 80 1br 8cm</t>
  </si>
  <si>
    <t>0,88</t>
  </si>
  <si>
    <t>1,08</t>
  </si>
  <si>
    <t>Módulo 90 1br 8cm</t>
  </si>
  <si>
    <t>0,98</t>
  </si>
  <si>
    <t>Módulo 100 1br 8cm</t>
  </si>
  <si>
    <t>0132226</t>
  </si>
  <si>
    <t>Módulo 120 1br 8cm</t>
  </si>
  <si>
    <t>1,28</t>
  </si>
  <si>
    <t>Módulo 90 s/br</t>
  </si>
  <si>
    <t>Módulo 120 s/br</t>
  </si>
  <si>
    <t>Estofado Aberto, Medida Total 1,52m, Espaço Interno 1,40m</t>
  </si>
  <si>
    <t>Altura Assento c/pés:0,40m</t>
  </si>
  <si>
    <t>Fixo - Memórias</t>
  </si>
  <si>
    <t>Sofá 2Lug</t>
  </si>
  <si>
    <t>1,58</t>
  </si>
  <si>
    <t>Poltrona</t>
  </si>
  <si>
    <t>MODELO NÃO PODERÁ SER PRODUZIDO EM COURO</t>
  </si>
  <si>
    <t>Altura Assento c/pés: 0,45m</t>
  </si>
  <si>
    <t>Fixo - Ninho</t>
  </si>
  <si>
    <t>Módulo 120 1Br 28cm - 2Alm Enc</t>
  </si>
  <si>
    <t>Módulo 110 1Br 28cm - 2Alm Enc</t>
  </si>
  <si>
    <t>1,48</t>
  </si>
  <si>
    <t>Módulo 100 1Br 28cm - 2Alm Enc</t>
  </si>
  <si>
    <t>1,38</t>
  </si>
  <si>
    <t>Módulo 90 1Br 28cm - 2Alm Enc</t>
  </si>
  <si>
    <t>Módulo s/Br - 2Alm Enc</t>
  </si>
  <si>
    <t>Composê com fundo em courissimo , acrescentar 5% ao preço bruto</t>
  </si>
  <si>
    <t>Sofás em couro e couro fornecido, solicitar orçamento</t>
  </si>
  <si>
    <t>Composê com fundo em couro , acrescentar 24% ao preço bruto.</t>
  </si>
  <si>
    <t>Fixo - Zelo</t>
  </si>
  <si>
    <t>Sofá 4Lug 275 2Br - Pé Metal</t>
  </si>
  <si>
    <t>2,75</t>
  </si>
  <si>
    <t>Sofá 4Lug 255 2Br - Pé Metal</t>
  </si>
  <si>
    <t>2,55</t>
  </si>
  <si>
    <t>Sofá 3Lug 235 2Br - Pé Metal</t>
  </si>
  <si>
    <t>2,35</t>
  </si>
  <si>
    <t>Sofá 2Lug 215 2Br - Pé Metal</t>
  </si>
  <si>
    <t>2,15</t>
  </si>
  <si>
    <t>Sofá 2Lug 195 2Br - Pé Metal</t>
  </si>
  <si>
    <t>1,95</t>
  </si>
  <si>
    <t>Sofá 4Lug 275 2Br - Bipartido - Pé Metal</t>
  </si>
  <si>
    <t>Sofá 4Lug 255 2Br - Bipartido - Pé Metal</t>
  </si>
  <si>
    <t>Sofá 3Lug 235 2Br - Bipartido - Pé Metal</t>
  </si>
  <si>
    <t>Sofá 2Lug 215 2Br - Bipartido - Pé Metal</t>
  </si>
  <si>
    <t>Puff 1Ass Sofá 275 - Pé Metal</t>
  </si>
  <si>
    <t>1,22</t>
  </si>
  <si>
    <t>Puff 1Ass Sofá 255 - Pé Metal</t>
  </si>
  <si>
    <t>1,12</t>
  </si>
  <si>
    <t>Puff 1Ass Sofá 235 - Pé Metal</t>
  </si>
  <si>
    <t>1,02</t>
  </si>
  <si>
    <t>Puff 1Ass Sofá 215 - Pé Metal</t>
  </si>
  <si>
    <t>0,92</t>
  </si>
  <si>
    <t>Puff 1Ass Sofá 195 - Pé Metal</t>
  </si>
  <si>
    <t>0,82</t>
  </si>
  <si>
    <t>Sofá 4Lug 275 2Br - Pé Madeira</t>
  </si>
  <si>
    <t>Sofá 4Lug 255 2Br- Pé Madeira</t>
  </si>
  <si>
    <t>Sofá 3Lug 235 2Br- Pé Madeira</t>
  </si>
  <si>
    <t>Sofá 2Lug 215 2Br- Pé Madeira</t>
  </si>
  <si>
    <t>Sofá 2Lug 195 2Br- Pé Madeira</t>
  </si>
  <si>
    <t>Sofá 4Lug 275 2Br - Bipartido- Pé Madeira</t>
  </si>
  <si>
    <t>Sofá 4Lug 255 2Br - Bipartido- Pé Madeira</t>
  </si>
  <si>
    <t>Sofá 3Lug 235 2Br - Bipartido- Pé Madeira</t>
  </si>
  <si>
    <t>Sofá 2Lug 215 2Br - Bipartido- Pé Madeira</t>
  </si>
  <si>
    <t>Puff 1Ass Sofá 275- Pé Madeira</t>
  </si>
  <si>
    <t>Puff 1Ass Sofá 255- Pé Madeira</t>
  </si>
  <si>
    <t>Puff 1Ass Sofá 235- Pé Madeira</t>
  </si>
  <si>
    <t>Puff 1Ass Sofá 215- Pé Madeira</t>
  </si>
  <si>
    <t>Puff 1Ass Sofá 195- Pé Madeira</t>
  </si>
  <si>
    <t>Retrátil - Style</t>
  </si>
  <si>
    <t>Módulo 120 1Br10cm C/Motor-1Alm Enc</t>
  </si>
  <si>
    <t>Módulo 110 1Br10cm C/Motor-1Alm Enc</t>
  </si>
  <si>
    <t>Módulo 100 1Br10cm C/Motor-1Alm Enc</t>
  </si>
  <si>
    <t>Módulo 90 1Br10cm C/Motor-1Alm Enc</t>
  </si>
  <si>
    <t>Módulo 120 s/Br C/Motor-1Alm Enc</t>
  </si>
  <si>
    <t>Módulo 110 s/Br C/Motor-1Alm Enc</t>
  </si>
  <si>
    <t>Módulo 100 s/Br C/Motor-1Alm Enc</t>
  </si>
  <si>
    <t>Módulo 90 s/Br C/Motor-1Alm Enc</t>
  </si>
  <si>
    <t>1 Atuador - Motor para 1Ass</t>
  </si>
  <si>
    <t>2 Atuadores - Motor para 2Ass</t>
  </si>
  <si>
    <t>3 Atuadores - Motor para 3Ass</t>
  </si>
  <si>
    <t>Carregador Wireless Indução Led</t>
  </si>
  <si>
    <t>Carregador Embutir USB 2Entradas</t>
  </si>
  <si>
    <t>Carregador Embutir USB e Iphone</t>
  </si>
  <si>
    <t>Nas opções com motor, é necessário somar o preço do Atuador ao preço dos módulos</t>
  </si>
  <si>
    <t>Módulo 120 1Br10cm S/Motor-1Alm Enc</t>
  </si>
  <si>
    <t>Módulo 110 1Br10cm S/Motor-1Alm Enc</t>
  </si>
  <si>
    <t>Módulo 100 1Br10cm S/Motor-1Alm Enc</t>
  </si>
  <si>
    <t>Módulo 90 1Br10cm S/Motor-1Alm Enc</t>
  </si>
  <si>
    <t>Módulo 120 s/Br S/Motor-1Alm Enc</t>
  </si>
  <si>
    <t>Módulo 110 s/Br S/Motor-1Alm Enc</t>
  </si>
  <si>
    <t>Módulo 100 s/Br S/Motor-1Alm Enc</t>
  </si>
  <si>
    <t>Módulo 90 s/Br S/Motor-1Alm Enc</t>
  </si>
  <si>
    <t xml:space="preserve">Altura Assento c/pés: 0,47m                  - Módulos Aberto: 1,60m             </t>
  </si>
  <si>
    <t>Retrátil - Afeto</t>
  </si>
  <si>
    <t>Módulo 120 1Br20cm C/Motor-1Alm Enc +1Rim</t>
  </si>
  <si>
    <t>Módulo 110 1Br20cm C/Motor-1Alm Enc +1Rim</t>
  </si>
  <si>
    <t>Módulo 100 1Br20cm C/Motor-1Alm Enc +1Rim</t>
  </si>
  <si>
    <t>Módulo 90 1Br20cm C/Motor-1Alm Enc +1Rim</t>
  </si>
  <si>
    <t>Módulo 120 s/Br C/Motor-1Alm Enc +1Rim</t>
  </si>
  <si>
    <t>Módulo 110 s/Br C/Motor-1Alm Enc +1Rim</t>
  </si>
  <si>
    <t>Módulo 100 s/Br C/Motor-1Alm Enc +1Rim</t>
  </si>
  <si>
    <t>Módulo 90 s/Br C/Motor-1Alm Enc +1Rim</t>
  </si>
  <si>
    <t>Chaise 120 1Br20cm C/Motor-1Alm Enc +1Rim</t>
  </si>
  <si>
    <t>Chaise 110 1Br20cm C/Motor-1Alm Enc +1Rim</t>
  </si>
  <si>
    <t>Chaise 100 1Br20cm C/Motor-1Alm Enc +1Rim</t>
  </si>
  <si>
    <t>Módulo 120 1Br20cm S/Motor-1Alm Enc +1Rim</t>
  </si>
  <si>
    <t>Módulo 110 1Br20cm S/Motor-1Alm Enc +1Rim</t>
  </si>
  <si>
    <t>Módulo 100 1Br20cm S/Motor-1Alm Enc +1Rim</t>
  </si>
  <si>
    <t>Módulo 90 1Br20cm S/Motor-1Alm Enc +1Rim</t>
  </si>
  <si>
    <t>Módulo 120 s/Br S/Motor-1Alm Enc +1Rim</t>
  </si>
  <si>
    <t>Módulo 110 s/Br S/Motor-1Alm Enc +1Rim</t>
  </si>
  <si>
    <t>Módulo 100 s/Br S/Motor-1Alm Enc +1Rim</t>
  </si>
  <si>
    <t>Módulo 90 s/Br S/Motor-1Alm Enc +1Rim</t>
  </si>
  <si>
    <t>Chaise 120 1Br20cm S/Motor-1Alm Enc +1Rim</t>
  </si>
  <si>
    <t>Chaise 110 1Br20cm S/Motor-1Alm Enc +1Rim</t>
  </si>
  <si>
    <t>Chaise 100 1Br20cm S/Motor-1Alm Enc +1Rim</t>
  </si>
  <si>
    <t>Recamier Enc 120-1Alm Enc +1Rim</t>
  </si>
  <si>
    <t>Recamier Enc 110-1Alm Enc +1Rim</t>
  </si>
  <si>
    <t>Recamier Enc 100-1Alm Enc +1Rim</t>
  </si>
  <si>
    <t>Canto 2 Reclíneos-2Alm Enc</t>
  </si>
  <si>
    <t>Altura Assento c/pés: 0,46m                  - Módulos Aberto: 1,63m             - Chaise Aberta: 2,03m</t>
  </si>
  <si>
    <t>Ilha - Magia</t>
  </si>
  <si>
    <t>Módulo 120 1Br15cm C/Motor-2Alm+1Alm Dec</t>
  </si>
  <si>
    <t>Módulo 110 1Br15cm C/Motor-2Alm+1Alm Dec</t>
  </si>
  <si>
    <t>Módulo 100 1Br15cm C/Motor-2Alm+1Alm Dec</t>
  </si>
  <si>
    <t>Módulo 120 s/Br C/Motor-2Alm+1Alm Dec</t>
  </si>
  <si>
    <t>Módulo 110 s/Br C/Motor-2Alm+1Alm Dec</t>
  </si>
  <si>
    <t>Módulo 100 s/Br C/Motor-2Alm+1Alm Dec</t>
  </si>
  <si>
    <t>1 Atuador 60cm - Motor para 1Ass</t>
  </si>
  <si>
    <t>2 Atuadores 60cm - Motor para 2Ass</t>
  </si>
  <si>
    <t>3 Atuadores 60cm - Motor para 3Ass</t>
  </si>
  <si>
    <t>4 Atuadores 60cm - Motor para 4Ass</t>
  </si>
  <si>
    <r>
      <rPr>
        <b/>
        <sz val="14"/>
        <color rgb="FF171616"/>
        <rFont val="Calibri"/>
        <family val="2"/>
        <charset val="1"/>
      </rPr>
      <t xml:space="preserve">Chicote Extensor - </t>
    </r>
    <r>
      <rPr>
        <b/>
        <u/>
        <sz val="14"/>
        <color rgb="FFFF0000"/>
        <rFont val="Calibri"/>
        <family val="2"/>
        <charset val="1"/>
      </rPr>
      <t>necessário quando houver um puff entre os módulos</t>
    </r>
  </si>
  <si>
    <t xml:space="preserve">                  O chicote extensor deverá ser acrescentado nas cotações quando houver um puff entre os modulos.</t>
  </si>
  <si>
    <t>É necessário somar o preço do Atuador ao preço dos módulos.</t>
  </si>
  <si>
    <t>Este Modelo não tem opção sem motor</t>
  </si>
  <si>
    <t xml:space="preserve">Altura Assento c/pés: 0,42m          </t>
  </si>
  <si>
    <t>Retrátil - Sonhos</t>
  </si>
  <si>
    <t>Módulo 120 1Br20cm C/Motor-1Alm Enc</t>
  </si>
  <si>
    <t>Módulo 110 1Br20cm C/Motor-1Alm Enc</t>
  </si>
  <si>
    <t>Módulo 100 1Br20cm C/Motor-1Alm Enc</t>
  </si>
  <si>
    <t>Módulo 90 1Br20cm C/Motor-1Alm Enc</t>
  </si>
  <si>
    <t>Chaise 120 1Br20cm C/Motor-1Alm Enc</t>
  </si>
  <si>
    <t>Chaise 110 1Br20cm C/Motor-1Alm Enc</t>
  </si>
  <si>
    <t>Chaise 100 1Br20cm C/Motor-1Alm Enc</t>
  </si>
  <si>
    <t>Módulo 120 1Br20cm S/Motor-1Alm Enc</t>
  </si>
  <si>
    <t>Módulo 110 1Br20cm S/Motor-1Alm Enc</t>
  </si>
  <si>
    <t>Módulo 100 1Br20cm S/Motor-1Alm Enc</t>
  </si>
  <si>
    <t>Módulo 90 1Br20cm S/Motor-1Alm Enc</t>
  </si>
  <si>
    <t>Chaise 120 1Br20cm S/Motor-1Alm Enc</t>
  </si>
  <si>
    <t>Chaise 110 1Br20cm S/Motor-1Alm Enc</t>
  </si>
  <si>
    <t>Chaise 100 1Br20cm S/Motor-1Alm Enc</t>
  </si>
  <si>
    <t>Recamier Enc 120-1Alm Enc</t>
  </si>
  <si>
    <t>Recamier Enc 110-1Alm Enc</t>
  </si>
  <si>
    <t>Recamier Enc 100-1Alm Enc</t>
  </si>
  <si>
    <t>Altura Assento c/pés: 0,45m                  - Módulos Aberto: 1,65m              - Chaise Aberta: 2,05m</t>
  </si>
  <si>
    <t>Retrátil - Tempo</t>
  </si>
  <si>
    <t>Módulo 120 1Br30cm C/Motor-1Alm Enc+1Rim</t>
  </si>
  <si>
    <t>Módulo 110 1Br30cm C/Motor-1Alm Enc+1Rim</t>
  </si>
  <si>
    <t>Módulo 100 1Br30cm C/Motor-1Alm Enc+1Rim</t>
  </si>
  <si>
    <t>Módulo 90 1Br30cm C/Motor-1Alm Enc+1Rim</t>
  </si>
  <si>
    <t>Módulo 120 s/Br C/Motor-1Alm Enc+1Rim</t>
  </si>
  <si>
    <t>Módulo 110 s/Br C/Motor-1Alm Enc+1Rim</t>
  </si>
  <si>
    <t>Módulo 100 s/Br C/Motor-1Alm Enc+1Rim</t>
  </si>
  <si>
    <t>Módulo 90 s/Br C/Motor-1Alm Enc+1Rim</t>
  </si>
  <si>
    <t>Chaise 120 1Br30cm C/Motor-1Alm Enc+1Rim</t>
  </si>
  <si>
    <t>Chaise 110 1Br30cm C/Motor-1Alm Enc+1Rim</t>
  </si>
  <si>
    <t>Chaise 100 1Br30cm C/Motor-1Alm Enc+1Rim</t>
  </si>
  <si>
    <t>Módulo 120 1Br30cm S/Motor-1Alm Enc+1Rim</t>
  </si>
  <si>
    <t xml:space="preserve"> </t>
  </si>
  <si>
    <t>Módulo 110 1Br30cm S/Motor-1Alm Enc+1Rim</t>
  </si>
  <si>
    <t>Módulo 100 1Br30cm S/Motor-1Alm Enc+1Rim</t>
  </si>
  <si>
    <t>Módulo 90 1Br30cm S/Motor-1Alm Enc+1Rim</t>
  </si>
  <si>
    <t>Módulo 120 s/Br S/Motor-1Alm Enc+1Rim</t>
  </si>
  <si>
    <t>Módulo 110 s/Br S/Motor-1Alm Enc+1Rim</t>
  </si>
  <si>
    <t>Módulo 100 s/Br S/Motor-1Alm Enc+1Rim</t>
  </si>
  <si>
    <t>Módulo 90 s/Br S/Motor-1Alm Enc+1Rim</t>
  </si>
  <si>
    <t>Chaise 120 1Br30cm S/Motor-1Alm Enc+1Rim</t>
  </si>
  <si>
    <t>Chaise 110 1Br30cm S/Motor-1Alm Enc+1Rim</t>
  </si>
  <si>
    <t>Chaise 100 1Br30cm S/Motor1Alm Enc+1Rim</t>
  </si>
  <si>
    <t>Recamier Enc 1201Alm Enc+1Rim</t>
  </si>
  <si>
    <t>Recamier Enc 1101Alm Enc+1Rim</t>
  </si>
  <si>
    <t>Recamier Enc 1001Alm Enc+1Rim</t>
  </si>
  <si>
    <t>Altura Assento c/pés: 0,45m                 - Módulos Aberto: 1,62m             - Chaise Aberta: 2,02m</t>
  </si>
  <si>
    <t>Poltrona - Arthur</t>
  </si>
  <si>
    <t>Poltrona Giratória</t>
  </si>
  <si>
    <t>Puff - Ciclos</t>
  </si>
  <si>
    <t>Puff - Mimo</t>
  </si>
  <si>
    <t>O laço deve ser sempre em couro</t>
  </si>
  <si>
    <t>Puff não poderá ser produzido em couro ou courissimo</t>
  </si>
  <si>
    <t>Fixo - Celeste</t>
  </si>
  <si>
    <t>Sofá 4Lug c/Polt - Polt Ass 70cm + Sofá Ass 1,50m</t>
  </si>
  <si>
    <t>2,50</t>
  </si>
  <si>
    <t>Sofá 3Lug c/Polt - Polt Ass 70cm + Sofá Ass 1,30m</t>
  </si>
  <si>
    <t>2,30</t>
  </si>
  <si>
    <t>Sofá 3Lug c/Polt - Polt Ass 70cm + Sofá Ass 1,10m</t>
  </si>
  <si>
    <t>2,10</t>
  </si>
  <si>
    <t>Sofá 4Lug 1Ass 2Br</t>
  </si>
  <si>
    <t>Sofá 3Lug 1Ass 2Br</t>
  </si>
  <si>
    <t>Sofá 2Lug 1Ass 2Br</t>
  </si>
  <si>
    <t>1,90</t>
  </si>
  <si>
    <t>Modelo não é indicado em couro ou Courissímo</t>
  </si>
  <si>
    <t>Modelo não pode ser bipartido</t>
  </si>
  <si>
    <t>Altura Assento c/pés: 0,44m</t>
  </si>
  <si>
    <t>Retrátil - Astro</t>
  </si>
  <si>
    <t>Módulo 120 1Br20cm C/Motor</t>
  </si>
  <si>
    <t>Módulo 110 1Br20cm C/Motor</t>
  </si>
  <si>
    <t>Módulo 100 1Br20cm C/Motor</t>
  </si>
  <si>
    <t>Módulo 120 s/Br C/Motor</t>
  </si>
  <si>
    <t>Módulo 110 s/Br C/Motor</t>
  </si>
  <si>
    <t>Módulo 100 s/Br C/Motor</t>
  </si>
  <si>
    <t>Chaise 120 1Br20cm C/Motor</t>
  </si>
  <si>
    <t>Chaise 110 1Br20cm C/Motor</t>
  </si>
  <si>
    <t>Chaise 100 1Br20cm C/Motor</t>
  </si>
  <si>
    <t>Módulo 120 1Br20cm S/Motor</t>
  </si>
  <si>
    <t>Módulo 110 1Br20cm S/Motor</t>
  </si>
  <si>
    <t>Módulo 100 1Br20cm S/Motor</t>
  </si>
  <si>
    <t>Módulo 120 s/Br S/Motor</t>
  </si>
  <si>
    <t>Módulo 110 s/Br S/Motor</t>
  </si>
  <si>
    <t>Módulo 100 s/Br S/Motor</t>
  </si>
  <si>
    <t>Chaise 120 1Br20cm S/Motor</t>
  </si>
  <si>
    <t>Chaise 110 1Br20cm S/Motor</t>
  </si>
  <si>
    <t>Chaise 100 1Br20cm S/Motor</t>
  </si>
  <si>
    <t>Recamier Enc 120</t>
  </si>
  <si>
    <t>Recamier Enc 110</t>
  </si>
  <si>
    <t>Recamier Enc 100</t>
  </si>
  <si>
    <t xml:space="preserve">Canto </t>
  </si>
  <si>
    <t>Módulos de 1,20m e 1,10m, são 3 almofadas</t>
  </si>
  <si>
    <t>Módulos de 1,00m e 0,90m, são 2almofadas</t>
  </si>
  <si>
    <t>Altura Assento c/pés: 0,45m                 - Módulos Aberto: 1,65m             - Chaise Aberta: 2,05m</t>
  </si>
  <si>
    <t>Retrátil - Wish</t>
  </si>
  <si>
    <t>Módulo 90 1Br20cm C/Motor</t>
  </si>
  <si>
    <t>Módulo 120 S/Br C/Motor</t>
  </si>
  <si>
    <t>Módulo 110 S/Br C/Motor</t>
  </si>
  <si>
    <t>Módulo 100 S/Br C/Motor</t>
  </si>
  <si>
    <t>Módulo 90 S/Br C/Motor</t>
  </si>
  <si>
    <t>Kit Massageador (02 cápsulas) C/Controle P/1Ass</t>
  </si>
  <si>
    <t>Kit Massageador (02 cápsulas) Digital S/Fio P/1Ass</t>
  </si>
  <si>
    <t>Módulo 90 1Br20cm S/Motor</t>
  </si>
  <si>
    <t>Módulo 120 S/Br S/Motor</t>
  </si>
  <si>
    <t>Módulo 110 S/Br S/Motor</t>
  </si>
  <si>
    <t>Módulo 100 S/Br S/Motor</t>
  </si>
  <si>
    <t>Módulo 90 S/Br S/Motor</t>
  </si>
  <si>
    <t>Canto C/2Reclíneos</t>
  </si>
  <si>
    <t>Altura Assento c/pés: 0,46           Módulos Aberto: 1,60m             Chaise Aberta: 2,00m</t>
  </si>
  <si>
    <t>Modular Fixo - Giro</t>
  </si>
  <si>
    <t>Sofá 160 Br 25cm (Base 1,80x0,90)</t>
  </si>
  <si>
    <t>Sofá 180 Br 25cm (Base 2,00x0,90)</t>
  </si>
  <si>
    <t>Sofá 200 Br 25cm (Base 2,20x0,90)</t>
  </si>
  <si>
    <t>Sofá 220 Br 25cm  - (Base 2,40x0,90)</t>
  </si>
  <si>
    <t>Poltrona 100 Br 25cm (Base 1,04x0,90)</t>
  </si>
  <si>
    <t xml:space="preserve">Altura Assento c/pés: 0,40m        </t>
  </si>
  <si>
    <t xml:space="preserve">Poltrona - Aura </t>
  </si>
  <si>
    <t>Puff Giratório</t>
  </si>
  <si>
    <t xml:space="preserve">Poltrona - Gaia </t>
  </si>
  <si>
    <t xml:space="preserve">Poltrona </t>
  </si>
  <si>
    <t>Altura Assento c/pés: 0,43m</t>
  </si>
  <si>
    <t xml:space="preserve">Poltrona - Luna </t>
  </si>
  <si>
    <t xml:space="preserve">Fixo - Royal </t>
  </si>
  <si>
    <t>Sofá 4Lug 2Br - 2Ass 8Alm Encosto</t>
  </si>
  <si>
    <t>2,82</t>
  </si>
  <si>
    <t>Sofá 4Lug 2Br - 2Ass 7Alm Encosto</t>
  </si>
  <si>
    <t>2,62</t>
  </si>
  <si>
    <t>Sofá 3Lug 2Br - 2Ass 6Alm Encosto</t>
  </si>
  <si>
    <t>2,42</t>
  </si>
  <si>
    <t>2,22</t>
  </si>
  <si>
    <t>Sofá 2Lug 2Br - 2Ass 4Alm Encosto</t>
  </si>
  <si>
    <t>2,02</t>
  </si>
  <si>
    <t>Altura Assento c/pés: 0,49m</t>
  </si>
  <si>
    <t>Fixo - Flow</t>
  </si>
  <si>
    <t>Sofá 4Lug 2Br - 4Alm Dec</t>
  </si>
  <si>
    <t>2,85</t>
  </si>
  <si>
    <t>2,65</t>
  </si>
  <si>
    <t>Sofá 3Lug 2Br - 4Alm Dec</t>
  </si>
  <si>
    <t>2,45</t>
  </si>
  <si>
    <t>2,25</t>
  </si>
  <si>
    <t>Sofá 2Lug 2Br - 2Alm Dec</t>
  </si>
  <si>
    <t>2,05</t>
  </si>
  <si>
    <t>1,85</t>
  </si>
  <si>
    <t>Banco</t>
  </si>
  <si>
    <t>1,80</t>
  </si>
  <si>
    <t>Altura Assento c/pés: 0,47m</t>
  </si>
  <si>
    <t>Retrátil - Cielo</t>
  </si>
  <si>
    <t>Módulo 120 1Br30cm C/Motor</t>
  </si>
  <si>
    <t>Módulo 110 1Br30cm C/Motor</t>
  </si>
  <si>
    <t>Módulo 100 1Br30cm C/Motor</t>
  </si>
  <si>
    <t>Módulo 90 1Br30cm C/Motor</t>
  </si>
  <si>
    <t>Módulo 120 1Br30cm S/Motor</t>
  </si>
  <si>
    <t>Módulo 110 1Br30cm S/Motor</t>
  </si>
  <si>
    <t>Módulo 100 1Br30cm S/Motor</t>
  </si>
  <si>
    <t>Módulo 90 1Br30cm S/Motor</t>
  </si>
  <si>
    <t>Canto Fixo S/Reclíneo</t>
  </si>
  <si>
    <t>Chaise Ass 120 Fixa 1R 1Br20</t>
  </si>
  <si>
    <t>São 2 Almofadas de encosto por módulo e elas tem a mesma medida para todos os assentos.</t>
  </si>
  <si>
    <t>Estofado Aberto, Medida Total 1,75m, Espaço Interno 1,20m</t>
  </si>
  <si>
    <t>Ratrátil - Grand</t>
  </si>
  <si>
    <t>Módulo 120 1Br25cm C/Motor</t>
  </si>
  <si>
    <t>Módulo 110 1Br25cm C/Motor</t>
  </si>
  <si>
    <t>Módulo 100 1Br25cm C/Motor</t>
  </si>
  <si>
    <t>Módulo 90 1Br25cm C/Motor</t>
  </si>
  <si>
    <t>Módulo 120 1Br25cm S/Motor</t>
  </si>
  <si>
    <t>Módulo 110 1Br25cm S/Motor</t>
  </si>
  <si>
    <t>Módulo 100 1Br25cm S/Motor</t>
  </si>
  <si>
    <t>Módulo 90 1Br25cm S/Motor</t>
  </si>
  <si>
    <t>Chaise Ass 100 Fixa 1R 1Br25cm</t>
  </si>
  <si>
    <t>Recamier 1R</t>
  </si>
  <si>
    <t>Estofado Aberto, Medida Total 1,67m</t>
  </si>
  <si>
    <t xml:space="preserve">Altura Assento c/pés: 0,43m </t>
  </si>
  <si>
    <t>Sofá-Cama - Lofty</t>
  </si>
  <si>
    <t xml:space="preserve"> Sofá 2Lug Cama Interno 158 2Br</t>
  </si>
  <si>
    <t xml:space="preserve"> Sofá 2Lug Cama Interno 138 2Br</t>
  </si>
  <si>
    <t>Modelo não poderá ser produzido em couro</t>
  </si>
  <si>
    <t>Estofado Aberto 2,11m Total   -  Interno s/ almofadas 1,90m</t>
  </si>
  <si>
    <t>Altura Assento c/pés Fechado: 0,48m</t>
  </si>
  <si>
    <t>Retrátil - Essence</t>
  </si>
  <si>
    <t>Módulo 120 1R 1A 1Br20</t>
  </si>
  <si>
    <t>Módulo 110 1R 1A 1Br20</t>
  </si>
  <si>
    <t>Módulo 100 1R 1A 1Br20</t>
  </si>
  <si>
    <t>Módulo 90 1R 1A 1Br20</t>
  </si>
  <si>
    <t>Módulo 80 1R 1A 1Br20</t>
  </si>
  <si>
    <t>Módulo 120 1R 1A 1Br10</t>
  </si>
  <si>
    <t>Módulo 110 1R 1A 1Br10</t>
  </si>
  <si>
    <t>Módulo 100 1R 1A 1Br10</t>
  </si>
  <si>
    <t>Módulo 90 1R 1A 1Br10</t>
  </si>
  <si>
    <t>Módulo 80 1R 1A 1Br10</t>
  </si>
  <si>
    <t>Módulo 120 1R 1A s/Br</t>
  </si>
  <si>
    <t>Módulo 110 1R 1A s/Br</t>
  </si>
  <si>
    <t>Módulo 100 1R 1A s/Br</t>
  </si>
  <si>
    <t>Módulo 90 1R 1A s/Br</t>
  </si>
  <si>
    <t>Módulo 80 1R 1A s/Br</t>
  </si>
  <si>
    <t>Chaise 120 1R 1A 1Br20</t>
  </si>
  <si>
    <t>Chaise 120 1R 1A 1Br10</t>
  </si>
  <si>
    <t>Para peças com debrum em couro, acrescentar 10% ao Preço Bruto</t>
  </si>
  <si>
    <t>Módulo 120 1R 1A 1Br20 C/Motor</t>
  </si>
  <si>
    <t>Módulo 110 1R 1A 1Br20 C/Motor</t>
  </si>
  <si>
    <t>Módulo 100 1R 1A 1Br20 C/Motor</t>
  </si>
  <si>
    <t>Módulo 90 1R 1A 1Br20 C/Motor</t>
  </si>
  <si>
    <t>Módulo 80 1R 1A 1Br20 C/Motor</t>
  </si>
  <si>
    <t>Módulo 120 1R 1A 1Br10 C/Motor</t>
  </si>
  <si>
    <t>Módulo 110 1R 1A 1Br10 C/Motor</t>
  </si>
  <si>
    <t>Módulo 100 1R 1A 1Br10 C/Motor</t>
  </si>
  <si>
    <t>Módulo 90 1R 1A 1Br10 C/Motor</t>
  </si>
  <si>
    <t>Módulo 80 1R 1A 1Br10 C/Motor</t>
  </si>
  <si>
    <t>Módulo 120 1R 1A s/Br C/Motor</t>
  </si>
  <si>
    <t>Módulo 110 1R 1A s/Br C/Motor</t>
  </si>
  <si>
    <t>Módulo 100 1R 1A s/Br C/Motor</t>
  </si>
  <si>
    <t>Módulo 90 1R 1A s/Br C/Motor</t>
  </si>
  <si>
    <t>Módulo 80 1R 1A s/Br C/Motor</t>
  </si>
  <si>
    <t>Kit Massageador (02 Capsulas) Controle c/fio - P/ 1Ass</t>
  </si>
  <si>
    <t>Kit Massageador (02 Capsulas) Touch - P/ 1Ass c/ Braço</t>
  </si>
  <si>
    <t>Altura Assento c/pés: 0,58m</t>
  </si>
  <si>
    <t>Fixo - Serenity</t>
  </si>
  <si>
    <t>Sofá 4Lug 2Br (2 Assentos 1,20 cada)</t>
  </si>
  <si>
    <t>Sofá 4Lug 2Br (2 Assentos 1,10 cada)</t>
  </si>
  <si>
    <t>Sofá 3Lug 2Br (2 Assentos 1,00 cada)</t>
  </si>
  <si>
    <t>Sofá 3Lug 2Br (2 Assentos 0,90 cada)</t>
  </si>
  <si>
    <t>Altura Assento c/pés:0,53m</t>
  </si>
  <si>
    <t>Banco - Zen</t>
  </si>
  <si>
    <t>Banco 180 Tec/Couro</t>
  </si>
  <si>
    <t>1,83</t>
  </si>
  <si>
    <t>Banco 160 Tec/Couro</t>
  </si>
  <si>
    <t>1,63</t>
  </si>
  <si>
    <t>Banco 180 Tec</t>
  </si>
  <si>
    <t>Banco 160 Tec</t>
  </si>
  <si>
    <t>Altura sem Almofada: 0,52m</t>
  </si>
  <si>
    <t xml:space="preserve">Aqua </t>
  </si>
  <si>
    <t>Sofá 4Lug 2br 20cm</t>
  </si>
  <si>
    <t>3,00</t>
  </si>
  <si>
    <t>0,74</t>
  </si>
  <si>
    <t>2,80</t>
  </si>
  <si>
    <t>Sofá 3Lug 2br 20cm</t>
  </si>
  <si>
    <t>2,60</t>
  </si>
  <si>
    <t>2,40</t>
  </si>
  <si>
    <t>Sofá 3Lug 1br  20cm</t>
  </si>
  <si>
    <t>2,20</t>
  </si>
  <si>
    <t xml:space="preserve">Sofá 2Lug 1br </t>
  </si>
  <si>
    <t>Módulo 120 1br  20cm</t>
  </si>
  <si>
    <t>Módulo 100 1br  20cm</t>
  </si>
  <si>
    <t xml:space="preserve">Módulo 120 s/br </t>
  </si>
  <si>
    <t>Módulo 100 s/br</t>
  </si>
  <si>
    <t>Sofá 4Lug 2br 20cm Bipartido</t>
  </si>
  <si>
    <t>Sofá 3Lug 2br 20cm Bipartido</t>
  </si>
  <si>
    <t>0,75</t>
  </si>
  <si>
    <t>0,42</t>
  </si>
  <si>
    <t>Puff canto</t>
  </si>
  <si>
    <t>Chaise Ass 120 1Br 20cm</t>
  </si>
  <si>
    <t>Sofá 4Lug c/Capa 2br 20cm</t>
  </si>
  <si>
    <t>Sofá 3Lug c/Capa 2br 20cm</t>
  </si>
  <si>
    <t>Sofá 3Lug c/Capa 1Ass Inteiro 2Enc 2br 20cm</t>
  </si>
  <si>
    <t>Sofá 4Lug 2br 20cm Bipartido Capa Inteira</t>
  </si>
  <si>
    <t>Sofá 3Lug 2br 20cm Bipartido Capa Inteira</t>
  </si>
  <si>
    <t>Capa Extra 4Lug 2Br</t>
  </si>
  <si>
    <t>Capa Extra 4Lug  2Br</t>
  </si>
  <si>
    <t>Capa Extra 3Lug 2Br</t>
  </si>
  <si>
    <t>Capa Extra 3Lug 1Ass Inteiro 2Enc 2Br</t>
  </si>
  <si>
    <t>Altura Assento c/pés:0,48m</t>
  </si>
  <si>
    <t xml:space="preserve">Blake </t>
  </si>
  <si>
    <t>Sofá 4Lug Bipartido 2br (Pé inteiro)</t>
  </si>
  <si>
    <t>0,95</t>
  </si>
  <si>
    <t>0,83</t>
  </si>
  <si>
    <t>Sofá 4Lug 2br</t>
  </si>
  <si>
    <t>Sofá 3Lug 2br</t>
  </si>
  <si>
    <t>1,70</t>
  </si>
  <si>
    <t>Sofá 2Lug 1br</t>
  </si>
  <si>
    <t>Altura Assento c/pés:0,45m</t>
  </si>
  <si>
    <t>Castelo</t>
  </si>
  <si>
    <t>2,00</t>
  </si>
  <si>
    <t>2,70</t>
  </si>
  <si>
    <t>Altura Assento c/pés:0,46m</t>
  </si>
  <si>
    <t>Curve</t>
  </si>
  <si>
    <t xml:space="preserve">Banco </t>
  </si>
  <si>
    <t>New Nolan</t>
  </si>
  <si>
    <t xml:space="preserve">Poltrona 2br </t>
  </si>
  <si>
    <t xml:space="preserve">Módulo 1Br </t>
  </si>
  <si>
    <t xml:space="preserve">Nolan </t>
  </si>
  <si>
    <t>0,89</t>
  </si>
  <si>
    <t>0,79</t>
  </si>
  <si>
    <t>Sofá 3Lug 2br Bipartido</t>
  </si>
  <si>
    <t>Sofá 4Lug 2br Bipartido</t>
  </si>
  <si>
    <t>Altura Assento c/pés:0,47m</t>
  </si>
  <si>
    <t xml:space="preserve">Oliver </t>
  </si>
  <si>
    <t>Shape</t>
  </si>
  <si>
    <t>Poltrona 2br</t>
  </si>
  <si>
    <t>Altura Assento c/pés:0,51m</t>
  </si>
  <si>
    <t xml:space="preserve">Geoh </t>
  </si>
  <si>
    <t>Módulo 80 s/br</t>
  </si>
  <si>
    <t>Módulo 110 s/br</t>
  </si>
  <si>
    <t>Módulo 80 1br 30cm</t>
  </si>
  <si>
    <t>Módulo 90 1br 30cm</t>
  </si>
  <si>
    <t>Módulo 100 1br 30cm</t>
  </si>
  <si>
    <t>Módulo 110 1br 30cm</t>
  </si>
  <si>
    <t>Módulo 120 1br 30cm</t>
  </si>
  <si>
    <t>Chaise</t>
  </si>
  <si>
    <t>Recamier</t>
  </si>
  <si>
    <t>Peças com o Gavetão em couro, acrescentar 10% ao Preço Bruto</t>
  </si>
  <si>
    <t xml:space="preserve">Lino </t>
  </si>
  <si>
    <r>
      <rPr>
        <b/>
        <sz val="14"/>
        <color rgb="FF171616"/>
        <rFont val="Calibri"/>
        <family val="2"/>
        <charset val="1"/>
      </rPr>
      <t xml:space="preserve">Sofá 4Lug 2br
</t>
    </r>
    <r>
      <rPr>
        <b/>
        <sz val="14"/>
        <color rgb="FF2F5496"/>
        <rFont val="Calibri"/>
        <family val="2"/>
        <charset val="1"/>
      </rPr>
      <t>Mod 100 1br + Mod 100 s/br + Recamier 100</t>
    </r>
  </si>
  <si>
    <r>
      <rPr>
        <b/>
        <sz val="14"/>
        <color rgb="FF171616"/>
        <rFont val="Calibri"/>
        <family val="2"/>
        <charset val="1"/>
      </rPr>
      <t xml:space="preserve">Sofá 4Lug 2br
</t>
    </r>
    <r>
      <rPr>
        <b/>
        <sz val="14"/>
        <color rgb="FF2F5496"/>
        <rFont val="Calibri"/>
        <family val="2"/>
        <charset val="1"/>
      </rPr>
      <t>Mod 100 1br + Recamier 100</t>
    </r>
  </si>
  <si>
    <r>
      <rPr>
        <b/>
        <sz val="14"/>
        <color rgb="FF171616"/>
        <rFont val="Calibri"/>
        <family val="2"/>
        <charset val="1"/>
      </rPr>
      <t xml:space="preserve">Sofá 4Lug 2br
</t>
    </r>
    <r>
      <rPr>
        <b/>
        <sz val="14"/>
        <color rgb="FF2F5496"/>
        <rFont val="Calibri"/>
        <family val="2"/>
        <charset val="1"/>
      </rPr>
      <t>Mod 119 1br + Recamier 119</t>
    </r>
  </si>
  <si>
    <r>
      <rPr>
        <b/>
        <sz val="14"/>
        <color rgb="FF171616"/>
        <rFont val="Calibri"/>
        <family val="2"/>
        <charset val="1"/>
      </rPr>
      <t xml:space="preserve">Sofá 3Lug 1br
</t>
    </r>
    <r>
      <rPr>
        <b/>
        <sz val="14"/>
        <color rgb="FF2F5496"/>
        <rFont val="Calibri"/>
        <family val="2"/>
        <charset val="1"/>
      </rPr>
      <t>Mod 100 1br + Mod 100 s/br</t>
    </r>
  </si>
  <si>
    <r>
      <rPr>
        <b/>
        <sz val="14"/>
        <color rgb="FF171616"/>
        <rFont val="Calibri"/>
        <family val="2"/>
        <charset val="1"/>
      </rPr>
      <t xml:space="preserve">Sofá 4Lug 1br
</t>
    </r>
    <r>
      <rPr>
        <b/>
        <sz val="14"/>
        <color rgb="FF2F5496"/>
        <rFont val="Calibri"/>
        <family val="2"/>
        <charset val="1"/>
      </rPr>
      <t xml:space="preserve">Mod 119 1br + Mod 119 s/br </t>
    </r>
  </si>
  <si>
    <t>Sofá 3Lug 2Ass 2br</t>
  </si>
  <si>
    <t>Sofá 4Lug 2Ass 2br</t>
  </si>
  <si>
    <t>Sofá 3Lug 1Ass 2br</t>
  </si>
  <si>
    <t>Caprio Alto</t>
  </si>
  <si>
    <t>Módulo 80 1R 1A 1br 30cm</t>
  </si>
  <si>
    <t>Módulo 90 1R 1A 1br 30cm</t>
  </si>
  <si>
    <t>Módulo 100 1R 1A 1br 30cm</t>
  </si>
  <si>
    <t>Módulo 110 1R 1A 1br 30cm</t>
  </si>
  <si>
    <t>Módulo 120 1R 1A 1br 30cm</t>
  </si>
  <si>
    <t>Módulo 80 1R 1A 1br 20cm</t>
  </si>
  <si>
    <t>Módulo 90 1R 1A 1br 20cm</t>
  </si>
  <si>
    <t>Módulo 100 1R 1A 1br 20cm</t>
  </si>
  <si>
    <t>Módulo 110 1R 1A 1br 20cm</t>
  </si>
  <si>
    <t>Módulo 120 1R 1A 1br 20cm</t>
  </si>
  <si>
    <t>Módulo 80 1R 1A s/br</t>
  </si>
  <si>
    <t>Módulo 90 1R 1A s/br</t>
  </si>
  <si>
    <t>Módulo 100 1R 1A s/br</t>
  </si>
  <si>
    <t>Módulo 110 1R 1A s/br</t>
  </si>
  <si>
    <t>Módulo 120 1R 1A s/br</t>
  </si>
  <si>
    <t>Chaise 1R 1Br</t>
  </si>
  <si>
    <t>Canto s/ Reclíneo</t>
  </si>
  <si>
    <t>Canto c/ 2Reclíneos</t>
  </si>
  <si>
    <t>Recamier Enc 85</t>
  </si>
  <si>
    <t>Módulo 80 1R 1A 1br 30cm c/Motor</t>
  </si>
  <si>
    <t>Módulo 90 1R 1A 1br 30cm c/Motor</t>
  </si>
  <si>
    <t>Módulo 100 1R 1A 1br 30cm c/Motor</t>
  </si>
  <si>
    <t>Módulo 110 1R 1A 1br 30cm c/Motor</t>
  </si>
  <si>
    <t>Módulo 120 1R 1A 1br 30cm c/Motor</t>
  </si>
  <si>
    <t>Módulo 80 1R 1A 1br 20cm c/Motor</t>
  </si>
  <si>
    <t>Módulo 90 1R 1A 1br 20cm c/Motor</t>
  </si>
  <si>
    <t>Módulo 100 1R 1A 1br 20cm c/Motor</t>
  </si>
  <si>
    <t>Módulo 110 1R 1A 1br 20cm c/Motor</t>
  </si>
  <si>
    <t>Módulo 120 1R 1A 1br 20cm c/Motor</t>
  </si>
  <si>
    <t>Módulo 80 1R 1A s/br c/Motor</t>
  </si>
  <si>
    <t>Módulo 90 1R 1A s/br c/Motor</t>
  </si>
  <si>
    <t>Módulo 100 1R 1A s/br c/Motor</t>
  </si>
  <si>
    <t>Módulo 110 1R 1A s/br c/Motor</t>
  </si>
  <si>
    <t>Módulo 120 1R 1A s/br c/Motor</t>
  </si>
  <si>
    <t>Estofado Aberto, Medida Total 1,60m, Espaço Interno 1,10m</t>
  </si>
  <si>
    <t>Nuvem</t>
  </si>
  <si>
    <t>Módulo 90 1R 1A 1br 30cm - c/motor</t>
  </si>
  <si>
    <t>Módulo 100 1R 1A 1br 30cm - c/motor</t>
  </si>
  <si>
    <t>Módulo 110 1R 1A 1br 30cm - c/motor</t>
  </si>
  <si>
    <t>Módulo 120 1R 1A 1br 30cm - c/motor</t>
  </si>
  <si>
    <t>Módulo 90 1R 1A 1br 20cm - c/motor</t>
  </si>
  <si>
    <t>Módulo 100 1R 1A 1br 20cm - c/motor</t>
  </si>
  <si>
    <t>Módulo 110 1R 1A 1br 20cm - c/motor</t>
  </si>
  <si>
    <t>Módulo 120 1R 1A 1br 20cm - c/motor</t>
  </si>
  <si>
    <t>Módulo 90 1R 1A s/br - c/motor</t>
  </si>
  <si>
    <t>Módulo 100 1R 1A s/br - c/motor</t>
  </si>
  <si>
    <t>Módulo 110 1R 1A s/br - c/motor</t>
  </si>
  <si>
    <t>Módulo 120 1R 1A s/br - c/motor</t>
  </si>
  <si>
    <t>Módulo 90 1R 1A 1br 30cm - s/motor</t>
  </si>
  <si>
    <t>Módulo 100 1R 1A 1br 30cm - s/motor</t>
  </si>
  <si>
    <t>Módulo 110 1R 1A 1br 30cm - s/motor</t>
  </si>
  <si>
    <t>Módulo 120 1R 1A 1br 30cm - s/motor</t>
  </si>
  <si>
    <t>Módulo 90 1R 1A 1br 20cm - s/motor</t>
  </si>
  <si>
    <t>Módulo 100 1R 1A 1br 20cm - s/motor</t>
  </si>
  <si>
    <t>Módulo 110 1R 1A 1br 20cm - s/motor</t>
  </si>
  <si>
    <t>Módulo 120 1R 1A 1br 20cm - s/motor</t>
  </si>
  <si>
    <t>Módulo 90 1R 1A s/br - s/motor</t>
  </si>
  <si>
    <t>Módulo 100 1R 1A s/br - s/motor</t>
  </si>
  <si>
    <t>Módulo 110 1R 1A s/br - s/motor</t>
  </si>
  <si>
    <t>Módulo 120 1R 1A s/br - s/motor</t>
  </si>
  <si>
    <t>Canto s/Reclíneo</t>
  </si>
  <si>
    <t>Chaise 1R 1Br 20cm - Ass 1,20m + 1Br20cm</t>
  </si>
  <si>
    <t>Chaise 1R 1Br 20cm - Ass 1,00m + 1Br20cm</t>
  </si>
  <si>
    <t>Altura Assento c/pés:0,52m</t>
  </si>
  <si>
    <t>Così</t>
  </si>
  <si>
    <t>Módulo 120 1R 1A 1br 25cm - c/motor</t>
  </si>
  <si>
    <t>Módulo 110 1R 1A 1br 25cm - c/motor</t>
  </si>
  <si>
    <t>Módulo 100 1R 1A 1br 25cm - c/motor</t>
  </si>
  <si>
    <t>Módulo 90 1R 1A 1br 25cm - c/motor</t>
  </si>
  <si>
    <t>Módulo 120 1R 1A 1Br25 - s/motor</t>
  </si>
  <si>
    <t>Módulo 110 1R 1A 1Br25 - s/motor</t>
  </si>
  <si>
    <t>Módulo 100 1R 1A 1Br25 - s/motor</t>
  </si>
  <si>
    <t>Módulo 90 1R 1A 1Br25 - s/motor</t>
  </si>
  <si>
    <t>Módulo 120 1R 1A S/Br - s/motor</t>
  </si>
  <si>
    <t>Módulo 110 1R 1A S/Br - s/motor</t>
  </si>
  <si>
    <t>Módulo 100 1R 1A S/Br - s/motor</t>
  </si>
  <si>
    <t>Módulo 90 1R 1A S/Br - s/motor</t>
  </si>
  <si>
    <t>1,25</t>
  </si>
  <si>
    <t>Canto s/reclíneo</t>
  </si>
  <si>
    <t>Chaise Fixa 1Br - Ass 1,00m</t>
  </si>
  <si>
    <t>Estofado Aberto, Medida Total 1,70m, Espaço Interno 1,0m</t>
  </si>
  <si>
    <t xml:space="preserve">Davi </t>
  </si>
  <si>
    <t>Módulo 120 1br 20cm 3Alm</t>
  </si>
  <si>
    <t>1,18</t>
  </si>
  <si>
    <t>Módulo 110 1br 20cm 3Alm</t>
  </si>
  <si>
    <t>Módulo 100 1br 20cm 3Alm</t>
  </si>
  <si>
    <t>Módulo 90 1br 20cm 2Alm</t>
  </si>
  <si>
    <t>Módulo 120 1br 7cm 3Alm</t>
  </si>
  <si>
    <t>1,27</t>
  </si>
  <si>
    <t>Módulo 110 1br 7cm 3Alm</t>
  </si>
  <si>
    <t>1,17</t>
  </si>
  <si>
    <t>Módulo 100 1br 7cm 3Alm</t>
  </si>
  <si>
    <t>1,07</t>
  </si>
  <si>
    <t>Módulo 90 1br 7cm 2Alm</t>
  </si>
  <si>
    <t>0,97</t>
  </si>
  <si>
    <t>Módulo 120 s/br 2Alm</t>
  </si>
  <si>
    <t>Módulo 110 s/br 2Alm</t>
  </si>
  <si>
    <t>Módulo 100 s/br 2Alm</t>
  </si>
  <si>
    <t>Módulo 90 s/br 2Alm</t>
  </si>
  <si>
    <t>Módulo 120 1br 12cm 3Alm</t>
  </si>
  <si>
    <t>1,32</t>
  </si>
  <si>
    <t>Módulo 110 1br 12cm 3Alm</t>
  </si>
  <si>
    <t>Módulo 100 1br 12cm 3Alm</t>
  </si>
  <si>
    <t>Módulo 90 1br 12cm 2Alm</t>
  </si>
  <si>
    <t>Canto s/ Reclíneo 3Alm</t>
  </si>
  <si>
    <t>Canto c/ 2Reclíneos 3Alm</t>
  </si>
  <si>
    <t>Estofado Aberto, Medida Total 1,60m, Espaço Interno 1,18m</t>
  </si>
  <si>
    <t>Domo - Retrátil</t>
  </si>
  <si>
    <t>Módulo 120 1br 25cm</t>
  </si>
  <si>
    <t>1,45</t>
  </si>
  <si>
    <t>091</t>
  </si>
  <si>
    <t>Módulo 110 1br 25cm</t>
  </si>
  <si>
    <t>1,35</t>
  </si>
  <si>
    <t>0,91</t>
  </si>
  <si>
    <t>Módulo 100 1br 25cm</t>
  </si>
  <si>
    <t>Módulo 90 1br 25cm</t>
  </si>
  <si>
    <t>1,15</t>
  </si>
  <si>
    <t>Módulo 120  s/br</t>
  </si>
  <si>
    <t>Módulo 120 1br 25cm - s/chuleio</t>
  </si>
  <si>
    <t>Módulo 110 1br 25cm - s/chuleio</t>
  </si>
  <si>
    <t>Módulo 100 1br 25cm - s/chuleio</t>
  </si>
  <si>
    <t>Módulo 90 1br 25cm - s/chuleio</t>
  </si>
  <si>
    <t>Módulo 120 s/br - s/chuleio</t>
  </si>
  <si>
    <t>Módulo 110 s/br - s/chuleio</t>
  </si>
  <si>
    <t>Módulo 100 s/br - s/chuleio</t>
  </si>
  <si>
    <t>Módulo 90 s/br - s/chuleio</t>
  </si>
  <si>
    <t>OPÇÃO FIXO</t>
  </si>
  <si>
    <t>Sofá 4Lug Fixo 2br 25cm</t>
  </si>
  <si>
    <t>Sofá 3Lug Fixo 2br 25cm</t>
  </si>
  <si>
    <t>Sofá 2Lug Fixo 1br 25cm</t>
  </si>
  <si>
    <t>Sofá 4Lug Fixo 2br 25cm - s/chuleio</t>
  </si>
  <si>
    <t>Sofá 3Lug Fixo 2br 25cm - s/chuleio</t>
  </si>
  <si>
    <t>Sofá 2Lug Fixo 1br 25cm - s/chuleio</t>
  </si>
  <si>
    <t>Módulo 120 Fixo 1br 25cm</t>
  </si>
  <si>
    <t>Módulo 120 Fixo s/br</t>
  </si>
  <si>
    <t>Módulo 110 Fixo 1br 25cm</t>
  </si>
  <si>
    <t>Módulo 110 Fixo s/br</t>
  </si>
  <si>
    <t>Módulo 100 Fixo 1br 25cm</t>
  </si>
  <si>
    <t>Módulo 100 Fixo s/br</t>
  </si>
  <si>
    <t>Módulo 90 Fixo 1br 25cm</t>
  </si>
  <si>
    <t>Módulo 90 Fixo s/br</t>
  </si>
  <si>
    <t>Módulo 120 Fixo 1br 25cm - s/chuleio</t>
  </si>
  <si>
    <t>Módulo 120 Fixo s/br - s/chuleio</t>
  </si>
  <si>
    <t>Módulo 110 Fixo 1br 25cm - s/chuleio</t>
  </si>
  <si>
    <t>Módulo 110 Fixo s/br - s/chuleio</t>
  </si>
  <si>
    <t>Módulo 100 Fixo 1br 25cm - s/chuleio</t>
  </si>
  <si>
    <t>Módulo 100 Fixo s/br - s/chuleio</t>
  </si>
  <si>
    <t>Módulo 90 Fixo 1br 25cm - s/chuleio</t>
  </si>
  <si>
    <t>Módulo 90 Fixo s/br - s/chuleio</t>
  </si>
  <si>
    <t>Poltrona 2br - s/chuleio</t>
  </si>
  <si>
    <t xml:space="preserve">Puff  Reto </t>
  </si>
  <si>
    <t>0,43</t>
  </si>
  <si>
    <t xml:space="preserve">Puff Ângulo </t>
  </si>
  <si>
    <t>Chaise Recamier Fixo</t>
  </si>
  <si>
    <t>Canto Fixo p/ Módulo Fixo</t>
  </si>
  <si>
    <t>Canto Fixo p/ Módulo Retrátil</t>
  </si>
  <si>
    <t>Chaise Recamier Fixo- s/chuleio</t>
  </si>
  <si>
    <t>Canto Fixo p/ Módulo Fixo - s/chuleio</t>
  </si>
  <si>
    <t>Canto Fixo p/ Módulo Retrátil - s/chuleio</t>
  </si>
  <si>
    <t>Estofado Aberto, Medida Total 1,60m</t>
  </si>
  <si>
    <t>Altura Assento c/pés:0,44m</t>
  </si>
  <si>
    <t xml:space="preserve">Giorgio </t>
  </si>
  <si>
    <t>Módulo 090 1R 1A 1br 20cm 3Alm</t>
  </si>
  <si>
    <t>Módulo 100 1R 1A 1br 20cm 3Alm</t>
  </si>
  <si>
    <t>Módulo 110 1R 1A 1br 20cm 3Alm</t>
  </si>
  <si>
    <t>Módulo 120 1R 1A 1br 20cm 3Alm</t>
  </si>
  <si>
    <t>Módulo 090 1R 1A s/br 2Alm</t>
  </si>
  <si>
    <t>Módulo 100 1R 1A s/br 2Alm</t>
  </si>
  <si>
    <t>Módulo 110 1R 1A s/br 2Alm</t>
  </si>
  <si>
    <t>Módulo 120 1R 1A s/br 2Alm</t>
  </si>
  <si>
    <t>Estofado Aberto, Medida Total 1,66m, Espaço Interno 1,16m</t>
  </si>
  <si>
    <t xml:space="preserve">          Altura Assento c/pés:0,44m</t>
  </si>
  <si>
    <r>
      <rPr>
        <b/>
        <sz val="24"/>
        <color rgb="FF3A3838"/>
        <rFont val="Calibri"/>
        <family val="2"/>
        <charset val="1"/>
      </rPr>
      <t>Bed</t>
    </r>
    <r>
      <rPr>
        <b/>
        <sz val="24"/>
        <color rgb="FF000000"/>
        <rFont val="Calibri"/>
        <family val="2"/>
        <charset val="1"/>
      </rPr>
      <t xml:space="preserve"> </t>
    </r>
  </si>
  <si>
    <t xml:space="preserve"> Sofá 2Lug Cama Interno 158 2br</t>
  </si>
  <si>
    <t xml:space="preserve"> Sofá 2Lug Cama Interno 138 2br</t>
  </si>
  <si>
    <t xml:space="preserve"> Sofá 1Lug Cama Interno 088 2br</t>
  </si>
  <si>
    <t xml:space="preserve"> Sofá 1Lug Cama Interno 088 1br </t>
  </si>
  <si>
    <t>Estofado Aberto 2,07m Total   -  Interno s/ almofadas 1,90m</t>
  </si>
  <si>
    <t>Altura Assento c/pés Fechado:0,40m</t>
  </si>
  <si>
    <t xml:space="preserve">Flip </t>
  </si>
  <si>
    <t xml:space="preserve"> Sofá Cama </t>
  </si>
  <si>
    <t>Estofado Aberto, Medida Total 2,05 X 1,30</t>
  </si>
  <si>
    <t>Altura Assento c/pés:0,50m</t>
  </si>
  <si>
    <t>Host</t>
  </si>
  <si>
    <t>Sofá 3Lug 2br /Auxiliar</t>
  </si>
  <si>
    <t xml:space="preserve">Profundidade Sofá Aberto c/Auxiliar: 1,86m      </t>
  </si>
  <si>
    <t xml:space="preserve">Medidas Cama Auxiliar Baixa: 2,03x0,91x0,20     Medidas Cama Auxiliar Alta: 2,03x0,91x0,40 </t>
  </si>
  <si>
    <t>Cinta</t>
  </si>
  <si>
    <t>Banco Tecido Pé Alumínio</t>
  </si>
  <si>
    <t>Banco Tecido/Couro Pé Alumínio</t>
  </si>
  <si>
    <t>Banco Tecido Pé Madeira</t>
  </si>
  <si>
    <t>Banco Tecido/Couro Pé Madeira</t>
  </si>
  <si>
    <t>Poltrona - Snow</t>
  </si>
  <si>
    <t>Altura Assento c/pés:0,55m</t>
  </si>
  <si>
    <t>Date</t>
  </si>
  <si>
    <t>Coliseu - Poltrona</t>
  </si>
  <si>
    <t>Poltrona Giratória Tec</t>
  </si>
  <si>
    <t>Poltrona Fixa Tec</t>
  </si>
  <si>
    <t>Altura Assento c/pés:0,42m</t>
  </si>
  <si>
    <t xml:space="preserve">Lauren </t>
  </si>
  <si>
    <t>Botero</t>
  </si>
  <si>
    <t>Sofá 2Lug 200</t>
  </si>
  <si>
    <t>Sofá 2Lug 220</t>
  </si>
  <si>
    <t>2,2</t>
  </si>
  <si>
    <t>Sofá 3Lug 240</t>
  </si>
  <si>
    <t>2,4</t>
  </si>
  <si>
    <t>Sofá 3Lug 260</t>
  </si>
  <si>
    <t>2,6</t>
  </si>
  <si>
    <t>Sofá 3Lug 280</t>
  </si>
  <si>
    <t>2,8</t>
  </si>
  <si>
    <t>Sofá 4Lug 300</t>
  </si>
  <si>
    <t>Puff 200</t>
  </si>
  <si>
    <t>Puff 220</t>
  </si>
  <si>
    <t>Puff 240</t>
  </si>
  <si>
    <t>0,70</t>
  </si>
  <si>
    <t>Curvo</t>
  </si>
  <si>
    <t>Sofá 2Lug 160 2br 20cm</t>
  </si>
  <si>
    <t>Sofá 2Lug 180 2br 20cm</t>
  </si>
  <si>
    <t>Sofá 3Lug 200 2br 20cm</t>
  </si>
  <si>
    <t>Sofá 3Lug 220 2br 20cm</t>
  </si>
  <si>
    <t>Sofá 3Lug 240 2br 20cm</t>
  </si>
  <si>
    <t>Hanover</t>
  </si>
  <si>
    <t xml:space="preserve">Sofá 2Lug 200 </t>
  </si>
  <si>
    <t xml:space="preserve">Sofá 2Lug 220 </t>
  </si>
  <si>
    <t xml:space="preserve">Sofá 3Lug 240 </t>
  </si>
  <si>
    <t xml:space="preserve">Sofá 3Lug 260 </t>
  </si>
  <si>
    <t xml:space="preserve">Sofá 3Lug 280 </t>
  </si>
  <si>
    <t>Moon Curvo</t>
  </si>
  <si>
    <t>Sofá 2Lug 180</t>
  </si>
  <si>
    <t>Sofá 3Lug 220</t>
  </si>
  <si>
    <t>Sofá 4Lug 280</t>
  </si>
  <si>
    <t>Olavo</t>
  </si>
  <si>
    <t>Sofá 2Lug 120</t>
  </si>
  <si>
    <t>Sofá 2Lug 140</t>
  </si>
  <si>
    <t>Sofá 3Lug 160</t>
  </si>
  <si>
    <t>Sofá 3Lug 180</t>
  </si>
  <si>
    <t>Recamier 180</t>
  </si>
  <si>
    <t>Recamier 200</t>
  </si>
  <si>
    <t>Recamier 220</t>
  </si>
  <si>
    <t>Recamier 240</t>
  </si>
  <si>
    <t>Puff 100</t>
  </si>
  <si>
    <t>Puff 110</t>
  </si>
  <si>
    <t>Puff 120</t>
  </si>
  <si>
    <t>Puff 130</t>
  </si>
  <si>
    <t>Orgânico</t>
  </si>
  <si>
    <t>Sofá 1Lug 115</t>
  </si>
  <si>
    <t>Puff 2Lug 115</t>
  </si>
  <si>
    <t>Orla</t>
  </si>
  <si>
    <t>Sofá 1Lug 150</t>
  </si>
  <si>
    <t>Sofá 1Lug 170</t>
  </si>
  <si>
    <t>Sofá 1Lug 190</t>
  </si>
  <si>
    <t>Sofá 1Lug 210</t>
  </si>
  <si>
    <t>Sofá 1Lug 230</t>
  </si>
  <si>
    <t>Recamier 150</t>
  </si>
  <si>
    <t>Recamier 170</t>
  </si>
  <si>
    <t>Recamier 190</t>
  </si>
  <si>
    <t>Recamier 210</t>
  </si>
  <si>
    <t>Recamier 230</t>
  </si>
  <si>
    <t>Sevilha</t>
  </si>
  <si>
    <t>Sofá 180</t>
  </si>
  <si>
    <t>Sofá 200</t>
  </si>
  <si>
    <t>Sofá 220</t>
  </si>
  <si>
    <t>Sofá 240</t>
  </si>
  <si>
    <t>Sofá 260</t>
  </si>
  <si>
    <t>Sofá 280</t>
  </si>
  <si>
    <t>Sofá 300</t>
  </si>
  <si>
    <t>Sofá 320</t>
  </si>
  <si>
    <t>3,20</t>
  </si>
  <si>
    <t>Sofá 340</t>
  </si>
  <si>
    <t>3,40</t>
  </si>
  <si>
    <t>Chaise 300</t>
  </si>
  <si>
    <t>Sing</t>
  </si>
  <si>
    <t>Sofá 140 (Base 1,70x0,90)</t>
  </si>
  <si>
    <t>Sofá 150 (Base 1,80x0,90)</t>
  </si>
  <si>
    <t>Sofá 190 (Base 2,20x0,90)</t>
  </si>
  <si>
    <t>Sofá 210 (Base 2,40x0,90)</t>
  </si>
  <si>
    <t>Sofá 230 (Base 2,60x0,90)</t>
  </si>
  <si>
    <t>Sofá 250 (Base 2,80x0,90)</t>
  </si>
  <si>
    <t>Cama Hasna</t>
  </si>
  <si>
    <t xml:space="preserve">Medidas </t>
  </si>
  <si>
    <t>Solteiro (Colchão 88x188)</t>
  </si>
  <si>
    <t>Viúva (Colchão 122x188)</t>
  </si>
  <si>
    <t>Casal (Colchão 138x188)</t>
  </si>
  <si>
    <t>Queen (Colchão 158x198)</t>
  </si>
  <si>
    <t>King (Colchão 193x208)</t>
  </si>
  <si>
    <t>Altura Assento c/pés:0,33m</t>
  </si>
  <si>
    <t>Cama Moov</t>
  </si>
  <si>
    <t>Cama Innova</t>
  </si>
  <si>
    <t>Cama Soft</t>
  </si>
  <si>
    <t>Coliseu - Chaise</t>
  </si>
  <si>
    <t>Chaise Giratória  120</t>
  </si>
  <si>
    <t>Chaise Giratória 130</t>
  </si>
  <si>
    <t>Chaise Giratória  140</t>
  </si>
  <si>
    <t>Chaise Giratória  150</t>
  </si>
  <si>
    <t>Chaise Giratória  160</t>
  </si>
  <si>
    <t>Chaise Giratória  170</t>
  </si>
  <si>
    <t>Chaise Giratória  180</t>
  </si>
  <si>
    <t>Chaise Giratória  190</t>
  </si>
  <si>
    <t>Chaise Giratória  200</t>
  </si>
  <si>
    <t>Day - Chaise</t>
  </si>
  <si>
    <t>Chaise Giratória 120</t>
  </si>
  <si>
    <t>Monaco</t>
  </si>
  <si>
    <t>Chaise 110 Br 10cm</t>
  </si>
  <si>
    <t>Chaise 120 Br 10cm</t>
  </si>
  <si>
    <t>Chaise 130 Br 10cm</t>
  </si>
  <si>
    <t>Chaise 140 Br 10cm</t>
  </si>
  <si>
    <t>Chaise 150 Br 10cm</t>
  </si>
  <si>
    <t>Nina</t>
  </si>
  <si>
    <t xml:space="preserve">Chaise </t>
  </si>
  <si>
    <t xml:space="preserve">Capri </t>
  </si>
  <si>
    <t>Módulo 200 2Br15cm</t>
  </si>
  <si>
    <t>Módulo 190 2Br10cm</t>
  </si>
  <si>
    <t>Módulo 130 S/ Br com Bandeja</t>
  </si>
  <si>
    <t>Dell</t>
  </si>
  <si>
    <t>Módulo 200</t>
  </si>
  <si>
    <t>Módulo 180</t>
  </si>
  <si>
    <t>Módulo 160</t>
  </si>
  <si>
    <t>Módulo 140</t>
  </si>
  <si>
    <t>Módulo 100</t>
  </si>
  <si>
    <t>Módulo 90</t>
  </si>
  <si>
    <t xml:space="preserve">Altura Assento c/pés: 0,45m          </t>
  </si>
  <si>
    <t>Fino</t>
  </si>
  <si>
    <t>Sofá 160 2br 5cm</t>
  </si>
  <si>
    <t>Sofá 180 2br 5cm</t>
  </si>
  <si>
    <t>Sofá 200 2br 5cm</t>
  </si>
  <si>
    <t>Sofá 220 2br 5cm</t>
  </si>
  <si>
    <t>Sofá 240 2br 5cm</t>
  </si>
  <si>
    <t>Florença</t>
  </si>
  <si>
    <t>Módulo c/Capa 1Ass 80 Br 10cm</t>
  </si>
  <si>
    <t>Módulo c/Capa 1Ass 90 Br 10cm</t>
  </si>
  <si>
    <t>Módulo c/Capa 1Ass 100 Br 10cm</t>
  </si>
  <si>
    <t>Módulo c/Capa 1Ass 110 Br 10cm</t>
  </si>
  <si>
    <t>Módulo c/Capa 1Ass 120 Br 10cm</t>
  </si>
  <si>
    <t>Módulo c/Capa 1Ass 80 SB</t>
  </si>
  <si>
    <t>Módulo c/Capa 1Ass 90 SB</t>
  </si>
  <si>
    <t>Módulo c/Capa 1Ass 100 SB</t>
  </si>
  <si>
    <t>Módulo c/Capa 1Ass 110 SB</t>
  </si>
  <si>
    <t>Módulo c/Capa 1Ass 120 SB</t>
  </si>
  <si>
    <t>Gael - Singular</t>
  </si>
  <si>
    <t>Módulo 120 1Br 20</t>
  </si>
  <si>
    <t>Módulo 100 1Br 20</t>
  </si>
  <si>
    <t>Módulo 80 1Br 20</t>
  </si>
  <si>
    <t>Módulo 120 S/Br</t>
  </si>
  <si>
    <t>Módulo 100 S/Br</t>
  </si>
  <si>
    <t>Módulo 80 S/Br</t>
  </si>
  <si>
    <t>Chaise 120 1Br 20</t>
  </si>
  <si>
    <t>Chaise 100 1Br 20</t>
  </si>
  <si>
    <t>Chaise 80 1Br 20</t>
  </si>
  <si>
    <t>Chaise 180 S/Br</t>
  </si>
  <si>
    <t>Chaise 160 S/Br</t>
  </si>
  <si>
    <t>Chaise 140 S/Br</t>
  </si>
  <si>
    <t>Chaise 120 S/Br</t>
  </si>
  <si>
    <t>Chaise 100 S/Br</t>
  </si>
  <si>
    <t>Chaise 80 S/Br</t>
  </si>
  <si>
    <t>Puff 190</t>
  </si>
  <si>
    <t>Puff 180</t>
  </si>
  <si>
    <t>Itto</t>
  </si>
  <si>
    <t>Módulo 1Ass 80 Br 20cm</t>
  </si>
  <si>
    <t>Módulo 1Ass 90 Br 20cm</t>
  </si>
  <si>
    <t>Módulo 1Ass 100 Br 20cm</t>
  </si>
  <si>
    <t>Módulo 1Ass 110 Br 20cm</t>
  </si>
  <si>
    <t>Módulo 1Ass 120 Br 20cm</t>
  </si>
  <si>
    <t>Módulo 1Ass 80 SB</t>
  </si>
  <si>
    <t>Módulo 1Ass 90 SB</t>
  </si>
  <si>
    <t>Módulo 1Ass 100 SB</t>
  </si>
  <si>
    <t>Módulo 1Ass 110 SB</t>
  </si>
  <si>
    <t>Módulo 1Ass 120 SB</t>
  </si>
  <si>
    <t>Live</t>
  </si>
  <si>
    <t>Módulo 2Ass 80 Br 20cm</t>
  </si>
  <si>
    <t>Módulo 2Ass 90 Br 20cm</t>
  </si>
  <si>
    <t>Módulo 2Ass 100 Br 20cm</t>
  </si>
  <si>
    <t>Módulo 2Ass 110 Br 20cm</t>
  </si>
  <si>
    <t>Módulo 2Ass 120 Br 20cm</t>
  </si>
  <si>
    <t>Chaise 80 Br 20cm</t>
  </si>
  <si>
    <t>Chaise 90 Br 20cm</t>
  </si>
  <si>
    <t>Chaise 100 Br 20cm</t>
  </si>
  <si>
    <t>Chaise 110 Br 20cm</t>
  </si>
  <si>
    <t>Chaise 120 Br 20cm</t>
  </si>
  <si>
    <t>Lyo</t>
  </si>
  <si>
    <t>Módulo 220</t>
  </si>
  <si>
    <t>Recamier 160</t>
  </si>
  <si>
    <t>Canto 100</t>
  </si>
  <si>
    <t>Macau</t>
  </si>
  <si>
    <t>Módulo 90+60 1Enc com Bico</t>
  </si>
  <si>
    <t>Módulo 70+60 1Enc com Bico</t>
  </si>
  <si>
    <t>Módulo 50+60 1Enc com Bico</t>
  </si>
  <si>
    <t>Módulo 110 S/Br</t>
  </si>
  <si>
    <t>Módulo 90 S/Br</t>
  </si>
  <si>
    <t>Puff 135</t>
  </si>
  <si>
    <t>Mob</t>
  </si>
  <si>
    <t>Módulo 240</t>
  </si>
  <si>
    <t>Módulo 260</t>
  </si>
  <si>
    <t>Chaise 200</t>
  </si>
  <si>
    <t>Chaise 210</t>
  </si>
  <si>
    <t>gr</t>
  </si>
  <si>
    <t>Chaise 220</t>
  </si>
  <si>
    <t>Chaise 230</t>
  </si>
  <si>
    <t>Chaise 240</t>
  </si>
  <si>
    <t>Puff 50</t>
  </si>
  <si>
    <t>Onda</t>
  </si>
  <si>
    <t>Sofá 160 2br 20cm</t>
  </si>
  <si>
    <t>Sofá 180 2br 20cm</t>
  </si>
  <si>
    <t>Sofá 200 2br 20cm</t>
  </si>
  <si>
    <t>Sofá 220 2br 20cm</t>
  </si>
  <si>
    <t>Sofá 240 2br 20cm</t>
  </si>
  <si>
    <t>Rima Fixo</t>
  </si>
  <si>
    <t>Sofá 2 Lugares 2Ass 80 2Br 12 cm</t>
  </si>
  <si>
    <t>Sofá 2 Lugares 2Ass 90 2Br 12 cm</t>
  </si>
  <si>
    <t>Sofá 2 Lugares 2Ass 100 2Br 12 cm</t>
  </si>
  <si>
    <t>Sofá 3 Lugares 2Ass 110 2Br 12 cm</t>
  </si>
  <si>
    <t>Sofá 3 Lugares 2Ass 120 2Br 12 cm</t>
  </si>
  <si>
    <t>Rima Retrátil</t>
  </si>
  <si>
    <t>Modulo 1 Ass 80 Br 12 cm</t>
  </si>
  <si>
    <t>Modulo 1 Ass 90 Br 12 cm</t>
  </si>
  <si>
    <t>Modulo 1 Ass 100 Br 12 cm</t>
  </si>
  <si>
    <t>Modulo 1 Ass 110 Br 12 cm</t>
  </si>
  <si>
    <t>Modulo 1 Ass 120 Br 12 cm</t>
  </si>
  <si>
    <t>Modulo 1 Ass 80 Sb</t>
  </si>
  <si>
    <t>Modulo 1 Ass 90 Sb</t>
  </si>
  <si>
    <t>Modulo 1 Ass 100 Sb</t>
  </si>
  <si>
    <t>Modulo 1 Ass 110 Sb</t>
  </si>
  <si>
    <t>Modulo 1 Ass 120 Sb</t>
  </si>
  <si>
    <t>Altura Assento c/pés:0,45m                                       - Módulos aberto - 1,77 mts</t>
  </si>
  <si>
    <t>Rolim</t>
  </si>
  <si>
    <t>Modulo 1 Ass 80 Br 20 cm</t>
  </si>
  <si>
    <t>Modulo 1 Ass 90 Br 20 cm</t>
  </si>
  <si>
    <t>Modulo 1 Ass 100 Br 20 cm</t>
  </si>
  <si>
    <t>Modulo 1 Ass 110 Br 20 cm</t>
  </si>
  <si>
    <t>Modulo 1 Ass 120 Br 20 cm</t>
  </si>
  <si>
    <t>Chaise Ass 80 Br 20 cm</t>
  </si>
  <si>
    <t>Chaise Ass 90 Br 20 cm</t>
  </si>
  <si>
    <t>Chaise Ass 100 Br 20 cm</t>
  </si>
  <si>
    <t>Chaise Ass 110 Br 20 cm</t>
  </si>
  <si>
    <t>Chaise Ass 120 Br 20 cm</t>
  </si>
  <si>
    <t>Altura Assento c/pés:0,45m                                      - Mesa Br - 0,25x0,70</t>
  </si>
  <si>
    <t>Tauros</t>
  </si>
  <si>
    <t>Modulo 2 Ass 80 Br 20 cm</t>
  </si>
  <si>
    <t>Modulo 2 Ass 90 Br 20 cm</t>
  </si>
  <si>
    <t>Modulo 2 Ass 100 Br 20 cm</t>
  </si>
  <si>
    <t>Modulo 2 Ass 110 Br 20 cm</t>
  </si>
  <si>
    <t>Modulo 2 Ass 120 Br 20 cm</t>
  </si>
  <si>
    <t xml:space="preserve">Altura Assento c/pés:0,45m                                      </t>
  </si>
  <si>
    <t>Theo</t>
  </si>
  <si>
    <t>Altura Assento c/pés:0,45m                                                   - Módulos aberto - 1,75 mts</t>
  </si>
  <si>
    <t>Visage</t>
  </si>
  <si>
    <t>Opção com avanço, solicitar orçamento</t>
  </si>
  <si>
    <t xml:space="preserve">Altura Assento c/pés:0,45m                                                  </t>
  </si>
  <si>
    <t>Way Retrátil</t>
  </si>
  <si>
    <t xml:space="preserve">Altura Assento c/pés:0,45m                                 -- Módulos aberto - 1,70 mts                 </t>
  </si>
  <si>
    <t>Poltrona - Bob</t>
  </si>
  <si>
    <t xml:space="preserve">Poltrona Giratória </t>
  </si>
  <si>
    <t>Poltrona - Draco</t>
  </si>
  <si>
    <t>Poltrona - Donatello</t>
  </si>
  <si>
    <t>Poltrona 115</t>
  </si>
  <si>
    <t>Puff 83</t>
  </si>
  <si>
    <t>Poltrona - Flow</t>
  </si>
  <si>
    <t>Poltrona - Guga</t>
  </si>
  <si>
    <t>Poltrona - Hércules</t>
  </si>
  <si>
    <t>Poltrona - Lua</t>
  </si>
  <si>
    <t>Poltrona - Losango</t>
  </si>
  <si>
    <t>COURO</t>
  </si>
  <si>
    <t>Poltrona - Paola</t>
  </si>
  <si>
    <t>Poltrona - Quadra</t>
  </si>
  <si>
    <t>Poltrona - Savoy</t>
  </si>
  <si>
    <t>Puff - Captonado</t>
  </si>
  <si>
    <t>Puff 160</t>
  </si>
  <si>
    <t>Puff 170</t>
  </si>
  <si>
    <t>Puff 210</t>
  </si>
  <si>
    <t>Puff - Ibiza</t>
  </si>
  <si>
    <t>Puff Giratória - Base Laminada</t>
  </si>
  <si>
    <t>Puff - Ópera</t>
  </si>
  <si>
    <t>Puff - Tooth</t>
  </si>
  <si>
    <t>Puff 60</t>
  </si>
  <si>
    <t>Puff 70</t>
  </si>
  <si>
    <t>Módulo 120 1Br</t>
  </si>
  <si>
    <t>Módulo com Braço</t>
  </si>
  <si>
    <t>Módulo sem Braço</t>
  </si>
  <si>
    <t>2 Lugares</t>
  </si>
  <si>
    <t>3 Lugares</t>
  </si>
  <si>
    <t>Chaisse com Braço</t>
  </si>
  <si>
    <t>Chaisse sem Braço</t>
  </si>
  <si>
    <t>Recamier Encosto</t>
  </si>
  <si>
    <t>CATEGORIA</t>
  </si>
  <si>
    <t>Sofá</t>
  </si>
  <si>
    <t>FAMILIA</t>
  </si>
  <si>
    <t>TIPO</t>
  </si>
  <si>
    <t>Abertura</t>
  </si>
  <si>
    <t>Acionamento</t>
  </si>
  <si>
    <t>Fixo</t>
  </si>
  <si>
    <t>Memórias</t>
  </si>
  <si>
    <t>Ninho</t>
  </si>
  <si>
    <t>Zelo</t>
  </si>
  <si>
    <t>Arthur</t>
  </si>
  <si>
    <t>Ciclos</t>
  </si>
  <si>
    <t>Mimo</t>
  </si>
  <si>
    <t>Astro</t>
  </si>
  <si>
    <t>Wish</t>
  </si>
  <si>
    <t>Flow</t>
  </si>
  <si>
    <t>Cielo</t>
  </si>
  <si>
    <t>Grand</t>
  </si>
  <si>
    <t>Zen</t>
  </si>
  <si>
    <t>Modular</t>
  </si>
  <si>
    <t>-</t>
  </si>
  <si>
    <t>Retratil</t>
  </si>
  <si>
    <t>Manual</t>
  </si>
  <si>
    <t>Manual ou automático</t>
  </si>
  <si>
    <t>Ilha</t>
  </si>
  <si>
    <t>Sofa</t>
  </si>
  <si>
    <t>Giratoria</t>
  </si>
  <si>
    <t>Cama</t>
  </si>
  <si>
    <t>Bipartido</t>
  </si>
  <si>
    <t>Alesso</t>
  </si>
  <si>
    <t>Angra</t>
  </si>
  <si>
    <t>Organic</t>
  </si>
  <si>
    <t>Style</t>
  </si>
  <si>
    <t>Magia</t>
  </si>
  <si>
    <t>Gael</t>
  </si>
  <si>
    <t xml:space="preserve">Afeto </t>
  </si>
  <si>
    <t xml:space="preserve">Sonhos </t>
  </si>
  <si>
    <t>Giro</t>
  </si>
  <si>
    <t xml:space="preserve">Aura </t>
  </si>
  <si>
    <t xml:space="preserve">Gaia </t>
  </si>
  <si>
    <t>Royal</t>
  </si>
  <si>
    <t xml:space="preserve">Luna </t>
  </si>
  <si>
    <t>Celeste</t>
  </si>
  <si>
    <t>Tempo</t>
  </si>
  <si>
    <t>Essence</t>
  </si>
  <si>
    <t>Modulo lateral</t>
  </si>
  <si>
    <t>Modulo reto</t>
  </si>
  <si>
    <t>Inteiro</t>
  </si>
  <si>
    <t>Automatico</t>
  </si>
  <si>
    <t>Reclinavel</t>
  </si>
  <si>
    <t>Nome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</si>
</sst>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_-;\-* #,##0.00_-;_-* \-??_-;_-@_-"/>
    <numFmt numFmtId="165" formatCode="_(* #,##0.00_);_(* \(#,##0.00\);_(* \-??_);_(@_)"/>
  </numFmts>
  <fonts count="40" x14ac:knownFonts="1">
    <font>
      <sz val="11"/>
      <color theme="1"/>
      <name val="Calibri"/>
      <charset val="1"/>
    </font>
    <font>
      <sz val="11"/>
      <color theme="1"/>
      <name val="Calibri"/>
      <family val="2"/>
      <charset val="1"/>
    </font>
    <font>
      <sz val="12"/>
      <color theme="1"/>
      <name val="Aptos"/>
      <family val="2"/>
      <charset val="1"/>
    </font>
    <font>
      <b/>
      <sz val="12"/>
      <color theme="1"/>
      <name val="Aptos"/>
      <family val="2"/>
      <charset val="1"/>
    </font>
    <font>
      <sz val="12"/>
      <color rgb="FFFF0000"/>
      <name val="Aptos"/>
      <family val="2"/>
      <charset val="1"/>
    </font>
    <font>
      <b/>
      <sz val="12"/>
      <color rgb="FFFF0000"/>
      <name val="Aptos"/>
      <family val="2"/>
      <charset val="1"/>
    </font>
    <font>
      <b/>
      <sz val="14"/>
      <color theme="1"/>
      <name val="Aptos"/>
      <family val="2"/>
      <charset val="1"/>
    </font>
    <font>
      <sz val="14"/>
      <color theme="1"/>
      <name val="Aptos"/>
      <family val="2"/>
      <charset val="1"/>
    </font>
    <font>
      <b/>
      <i/>
      <sz val="24"/>
      <color theme="1"/>
      <name val="Calibri"/>
      <family val="2"/>
      <charset val="1"/>
    </font>
    <font>
      <b/>
      <sz val="16"/>
      <color theme="1"/>
      <name val="Calibri"/>
      <family val="2"/>
      <charset val="1"/>
    </font>
    <font>
      <b/>
      <sz val="18"/>
      <color theme="1"/>
      <name val="Calibri"/>
      <family val="2"/>
      <charset val="1"/>
    </font>
    <font>
      <sz val="14"/>
      <color theme="1"/>
      <name val="Calibri"/>
      <family val="2"/>
      <charset val="1"/>
    </font>
    <font>
      <b/>
      <sz val="14"/>
      <color theme="1"/>
      <name val="Calibri"/>
      <family val="2"/>
      <charset val="1"/>
    </font>
    <font>
      <sz val="10"/>
      <color theme="1"/>
      <name val="Calibri"/>
      <family val="2"/>
      <charset val="1"/>
    </font>
    <font>
      <sz val="13"/>
      <color theme="1"/>
      <name val="Calibri"/>
      <family val="2"/>
      <charset val="1"/>
    </font>
    <font>
      <b/>
      <sz val="36"/>
      <color theme="1"/>
      <name val="Candara"/>
      <family val="2"/>
      <charset val="1"/>
    </font>
    <font>
      <sz val="15"/>
      <color theme="1"/>
      <name val="Calibri"/>
      <family val="2"/>
      <charset val="1"/>
    </font>
    <font>
      <b/>
      <sz val="24"/>
      <color theme="1"/>
      <name val="Calibri"/>
      <family val="2"/>
      <charset val="1"/>
    </font>
    <font>
      <sz val="14"/>
      <color theme="0"/>
      <name val="Calibri"/>
      <family val="2"/>
      <charset val="1"/>
    </font>
    <font>
      <b/>
      <u/>
      <sz val="16"/>
      <color theme="1"/>
      <name val="Calibri"/>
      <family val="2"/>
      <charset val="1"/>
    </font>
    <font>
      <b/>
      <sz val="10"/>
      <color theme="1"/>
      <name val="Calibri"/>
      <family val="2"/>
      <charset val="1"/>
    </font>
    <font>
      <b/>
      <sz val="15"/>
      <color theme="1"/>
      <name val="Calibri"/>
      <family val="2"/>
      <charset val="1"/>
    </font>
    <font>
      <b/>
      <sz val="14"/>
      <color rgb="FF171616"/>
      <name val="Calibri"/>
      <family val="2"/>
      <charset val="1"/>
    </font>
    <font>
      <b/>
      <u/>
      <sz val="14"/>
      <color rgb="FFFF0000"/>
      <name val="Calibri"/>
      <family val="2"/>
      <charset val="1"/>
    </font>
    <font>
      <b/>
      <sz val="11"/>
      <color theme="1"/>
      <name val="Calibri"/>
      <family val="2"/>
      <charset val="1"/>
    </font>
    <font>
      <b/>
      <sz val="13"/>
      <color theme="1"/>
      <name val="Calibri"/>
      <family val="2"/>
      <charset val="1"/>
    </font>
    <font>
      <b/>
      <sz val="14"/>
      <color rgb="FF2F5496"/>
      <name val="Calibri"/>
      <family val="2"/>
      <charset val="1"/>
    </font>
    <font>
      <sz val="36"/>
      <color theme="1"/>
      <name val="Candara"/>
      <family val="2"/>
      <charset val="1"/>
    </font>
    <font>
      <sz val="9"/>
      <color theme="1"/>
      <name val="Calibri"/>
      <family val="2"/>
      <charset val="1"/>
    </font>
    <font>
      <b/>
      <sz val="20"/>
      <color theme="1"/>
      <name val="Calibri"/>
      <family val="2"/>
      <charset val="1"/>
    </font>
    <font>
      <b/>
      <sz val="24"/>
      <color rgb="FF3A3838"/>
      <name val="Calibri"/>
      <family val="2"/>
      <charset val="1"/>
    </font>
    <font>
      <b/>
      <sz val="24"/>
      <color rgb="FF000000"/>
      <name val="Calibri"/>
      <family val="2"/>
      <charset val="1"/>
    </font>
    <font>
      <sz val="11"/>
      <color theme="1"/>
      <name val="Calibri"/>
      <charset val="1"/>
    </font>
    <font>
      <b/>
      <i/>
      <sz val="16"/>
      <color theme="1"/>
      <name val="Calibri"/>
      <family val="2"/>
    </font>
    <font>
      <sz val="16"/>
      <color theme="1"/>
      <name val="Calibri"/>
      <family val="2"/>
    </font>
    <font>
      <b/>
      <sz val="16"/>
      <color theme="1"/>
      <name val="Calibri"/>
      <family val="2"/>
    </font>
    <font>
      <sz val="11"/>
      <color theme="1"/>
      <name val="Calibri"/>
      <family val="2"/>
    </font>
    <font>
      <b/>
      <sz val="16"/>
      <color rgb="FFFF0000"/>
      <name val="Calibri"/>
      <family val="2"/>
    </font>
    <font>
      <b/>
      <sz val="11"/>
      <color theme="1"/>
      <name val="Calibri"/>
      <family val="2"/>
    </font>
    <font>
      <b/>
      <sz val="11"/>
      <color rgb="FF374151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FFFFFF"/>
        <bgColor rgb="FFF3F3F3"/>
      </patternFill>
    </fill>
    <fill>
      <patternFill patternType="solid">
        <fgColor rgb="FFF3F3F3"/>
        <bgColor rgb="FFFFFFFF"/>
      </patternFill>
    </fill>
    <fill>
      <patternFill patternType="solid">
        <fgColor rgb="FFD0CECE"/>
        <bgColor rgb="FFD9D9D9"/>
      </patternFill>
    </fill>
    <fill>
      <patternFill patternType="solid">
        <fgColor rgb="FFFFFF99"/>
        <bgColor rgb="FFE3DFA7"/>
      </patternFill>
    </fill>
    <fill>
      <patternFill patternType="solid">
        <fgColor rgb="FFE3DFA7"/>
        <bgColor rgb="FFD9D9D9"/>
      </patternFill>
    </fill>
    <fill>
      <patternFill patternType="solid">
        <fgColor theme="0" tint="-0.249977111117893"/>
        <bgColor rgb="FFD0CECE"/>
      </patternFill>
    </fill>
    <fill>
      <patternFill patternType="solid">
        <fgColor theme="2" tint="-0.14999847407452621"/>
        <bgColor rgb="FFD0CECE"/>
      </patternFill>
    </fill>
  </fills>
  <borders count="12">
    <border>
      <left/>
      <right/>
      <top/>
      <bottom/>
      <diagonal/>
    </border>
    <border>
      <left style="dashed">
        <color auto="1"/>
      </left>
      <right/>
      <top/>
      <bottom/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double">
        <color auto="1"/>
      </left>
      <right style="double">
        <color auto="1"/>
      </right>
      <top style="double">
        <color auto="1"/>
      </top>
      <bottom style="double">
        <color auto="1"/>
      </bottom>
      <diagonal/>
    </border>
  </borders>
  <cellStyleXfs count="5">
    <xf numFmtId="0" fontId="0" fillId="0" borderId="0"/>
    <xf numFmtId="0" fontId="1" fillId="0" borderId="0"/>
    <xf numFmtId="9" fontId="32" fillId="0" borderId="0" applyBorder="0" applyProtection="0"/>
    <xf numFmtId="164" fontId="32" fillId="0" borderId="0" applyBorder="0" applyProtection="0"/>
    <xf numFmtId="164" fontId="32" fillId="0" borderId="0" applyBorder="0" applyProtection="0"/>
  </cellStyleXfs>
  <cellXfs count="197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top" wrapText="1"/>
    </xf>
    <xf numFmtId="0" fontId="2" fillId="2" borderId="0" xfId="0" applyFont="1" applyFill="1" applyAlignment="1">
      <alignment horizontal="center"/>
    </xf>
    <xf numFmtId="0" fontId="2" fillId="0" borderId="0" xfId="0" applyFont="1"/>
    <xf numFmtId="0" fontId="2" fillId="0" borderId="1" xfId="0" applyFont="1" applyBorder="1"/>
    <xf numFmtId="0" fontId="2" fillId="2" borderId="0" xfId="0" applyFont="1" applyFill="1"/>
    <xf numFmtId="2" fontId="2" fillId="2" borderId="0" xfId="3" applyNumberFormat="1" applyFont="1" applyFill="1" applyBorder="1" applyAlignment="1" applyProtection="1">
      <alignment horizontal="center"/>
    </xf>
    <xf numFmtId="1" fontId="2" fillId="0" borderId="1" xfId="0" applyNumberFormat="1" applyFont="1" applyBorder="1"/>
    <xf numFmtId="1" fontId="2" fillId="0" borderId="0" xfId="0" applyNumberFormat="1" applyFont="1"/>
    <xf numFmtId="0" fontId="3" fillId="2" borderId="0" xfId="0" applyFont="1" applyFill="1" applyAlignment="1">
      <alignment horizontal="left"/>
    </xf>
    <xf numFmtId="0" fontId="3" fillId="2" borderId="0" xfId="0" applyFont="1" applyFill="1"/>
    <xf numFmtId="0" fontId="3" fillId="2" borderId="0" xfId="0" applyFont="1" applyFill="1" applyAlignment="1">
      <alignment horizontal="center"/>
    </xf>
    <xf numFmtId="165" fontId="3" fillId="2" borderId="0" xfId="3" applyNumberFormat="1" applyFont="1" applyFill="1" applyBorder="1" applyProtection="1"/>
    <xf numFmtId="2" fontId="2" fillId="2" borderId="0" xfId="0" applyNumberFormat="1" applyFont="1" applyFill="1" applyAlignment="1">
      <alignment horizontal="center"/>
    </xf>
    <xf numFmtId="0" fontId="4" fillId="2" borderId="0" xfId="0" applyFont="1" applyFill="1"/>
    <xf numFmtId="165" fontId="2" fillId="2" borderId="0" xfId="3" applyNumberFormat="1" applyFont="1" applyFill="1" applyBorder="1" applyProtection="1"/>
    <xf numFmtId="0" fontId="6" fillId="0" borderId="0" xfId="0" applyFont="1"/>
    <xf numFmtId="0" fontId="7" fillId="0" borderId="0" xfId="0" applyFont="1"/>
    <xf numFmtId="9" fontId="7" fillId="0" borderId="4" xfId="0" applyNumberFormat="1" applyFont="1" applyBorder="1" applyAlignment="1">
      <alignment horizontal="center"/>
    </xf>
    <xf numFmtId="9" fontId="7" fillId="0" borderId="6" xfId="0" applyNumberFormat="1" applyFont="1" applyBorder="1" applyAlignment="1">
      <alignment horizontal="center"/>
    </xf>
    <xf numFmtId="0" fontId="7" fillId="0" borderId="7" xfId="0" applyFont="1" applyBorder="1" applyAlignment="1">
      <alignment horizontal="left"/>
    </xf>
    <xf numFmtId="0" fontId="7" fillId="0" borderId="8" xfId="0" applyFont="1" applyBorder="1" applyAlignment="1">
      <alignment horizontal="left"/>
    </xf>
    <xf numFmtId="9" fontId="7" fillId="0" borderId="10" xfId="0" applyNumberFormat="1" applyFont="1" applyBorder="1" applyAlignment="1">
      <alignment horizontal="center"/>
    </xf>
    <xf numFmtId="0" fontId="3" fillId="2" borderId="9" xfId="0" applyFont="1" applyFill="1" applyBorder="1" applyAlignment="1">
      <alignment horizontal="center" vertical="center"/>
    </xf>
    <xf numFmtId="2" fontId="2" fillId="0" borderId="0" xfId="0" applyNumberFormat="1" applyFont="1" applyAlignment="1">
      <alignment horizontal="center" vertical="center"/>
    </xf>
    <xf numFmtId="2" fontId="2" fillId="0" borderId="0" xfId="0" applyNumberFormat="1" applyFont="1" applyAlignment="1">
      <alignment horizontal="center" vertical="top" wrapText="1"/>
    </xf>
    <xf numFmtId="2" fontId="2" fillId="0" borderId="0" xfId="3" applyNumberFormat="1" applyFont="1" applyBorder="1" applyAlignment="1" applyProtection="1">
      <alignment horizontal="center" vertical="top" wrapText="1"/>
    </xf>
    <xf numFmtId="0" fontId="2" fillId="0" borderId="0" xfId="0" applyFont="1" applyAlignment="1">
      <alignment horizontal="center"/>
    </xf>
    <xf numFmtId="2" fontId="2" fillId="0" borderId="0" xfId="3" applyNumberFormat="1" applyFont="1" applyBorder="1" applyAlignment="1" applyProtection="1">
      <alignment horizontal="center"/>
    </xf>
    <xf numFmtId="2" fontId="2" fillId="0" borderId="0" xfId="0" applyNumberFormat="1" applyFont="1" applyAlignment="1">
      <alignment horizontal="center"/>
    </xf>
    <xf numFmtId="0" fontId="3" fillId="0" borderId="0" xfId="0" applyFont="1" applyAlignment="1">
      <alignment horizontal="center"/>
    </xf>
    <xf numFmtId="2" fontId="2" fillId="0" borderId="0" xfId="3" applyNumberFormat="1" applyFont="1" applyBorder="1" applyAlignment="1" applyProtection="1">
      <alignment horizontal="center" vertical="center"/>
    </xf>
    <xf numFmtId="3" fontId="0" fillId="0" borderId="0" xfId="0" applyNumberFormat="1"/>
    <xf numFmtId="0" fontId="8" fillId="3" borderId="0" xfId="0" applyFont="1" applyFill="1" applyAlignment="1">
      <alignment horizontal="center" wrapText="1"/>
    </xf>
    <xf numFmtId="0" fontId="8" fillId="3" borderId="0" xfId="0" applyFont="1" applyFill="1" applyAlignment="1">
      <alignment horizontal="left" wrapText="1"/>
    </xf>
    <xf numFmtId="4" fontId="9" fillId="3" borderId="0" xfId="0" applyNumberFormat="1" applyFont="1" applyFill="1" applyAlignment="1">
      <alignment horizontal="center" vertical="center" wrapText="1"/>
    </xf>
    <xf numFmtId="3" fontId="9" fillId="3" borderId="0" xfId="0" applyNumberFormat="1" applyFont="1" applyFill="1" applyAlignment="1">
      <alignment horizontal="center" vertical="center" wrapText="1"/>
    </xf>
    <xf numFmtId="0" fontId="10" fillId="3" borderId="11" xfId="0" applyFont="1" applyFill="1" applyBorder="1" applyAlignment="1">
      <alignment horizontal="center" vertical="center"/>
    </xf>
    <xf numFmtId="0" fontId="8" fillId="4" borderId="0" xfId="0" applyFont="1" applyFill="1" applyAlignment="1">
      <alignment vertical="center" wrapText="1"/>
    </xf>
    <xf numFmtId="4" fontId="9" fillId="4" borderId="0" xfId="0" applyNumberFormat="1" applyFont="1" applyFill="1" applyAlignment="1">
      <alignment horizontal="center" vertical="center" wrapText="1"/>
    </xf>
    <xf numFmtId="3" fontId="9" fillId="4" borderId="0" xfId="0" applyNumberFormat="1" applyFont="1" applyFill="1" applyAlignment="1">
      <alignment horizontal="center" vertical="center" wrapText="1"/>
    </xf>
    <xf numFmtId="0" fontId="11" fillId="2" borderId="0" xfId="0" applyFont="1" applyFill="1" applyAlignment="1">
      <alignment horizontal="center"/>
    </xf>
    <xf numFmtId="49" fontId="12" fillId="2" borderId="0" xfId="0" applyNumberFormat="1" applyFont="1" applyFill="1" applyAlignment="1">
      <alignment vertical="center"/>
    </xf>
    <xf numFmtId="0" fontId="12" fillId="2" borderId="0" xfId="0" applyFont="1" applyFill="1" applyAlignment="1">
      <alignment vertical="center"/>
    </xf>
    <xf numFmtId="49" fontId="11" fillId="2" borderId="0" xfId="0" applyNumberFormat="1" applyFont="1" applyFill="1" applyAlignment="1">
      <alignment horizontal="left" vertical="center"/>
    </xf>
    <xf numFmtId="4" fontId="12" fillId="2" borderId="0" xfId="0" applyNumberFormat="1" applyFont="1" applyFill="1" applyAlignment="1">
      <alignment horizontal="center" vertical="center"/>
    </xf>
    <xf numFmtId="4" fontId="11" fillId="2" borderId="0" xfId="0" applyNumberFormat="1" applyFont="1" applyFill="1" applyAlignment="1">
      <alignment horizontal="left" vertical="center"/>
    </xf>
    <xf numFmtId="4" fontId="11" fillId="2" borderId="0" xfId="0" applyNumberFormat="1" applyFont="1" applyFill="1" applyAlignment="1">
      <alignment horizontal="center"/>
    </xf>
    <xf numFmtId="3" fontId="11" fillId="2" borderId="0" xfId="0" applyNumberFormat="1" applyFont="1" applyFill="1" applyAlignment="1">
      <alignment horizontal="center"/>
    </xf>
    <xf numFmtId="49" fontId="12" fillId="0" borderId="0" xfId="0" applyNumberFormat="1" applyFont="1" applyAlignment="1">
      <alignment vertical="center"/>
    </xf>
    <xf numFmtId="0" fontId="12" fillId="0" borderId="0" xfId="0" applyFont="1" applyAlignment="1">
      <alignment vertical="center"/>
    </xf>
    <xf numFmtId="49" fontId="11" fillId="0" borderId="0" xfId="0" applyNumberFormat="1" applyFont="1" applyAlignment="1">
      <alignment horizontal="left" vertical="center"/>
    </xf>
    <xf numFmtId="4" fontId="12" fillId="0" borderId="0" xfId="0" applyNumberFormat="1" applyFont="1" applyAlignment="1">
      <alignment horizontal="center" vertical="center"/>
    </xf>
    <xf numFmtId="4" fontId="11" fillId="0" borderId="0" xfId="0" applyNumberFormat="1" applyFont="1" applyAlignment="1">
      <alignment horizontal="left" vertical="center"/>
    </xf>
    <xf numFmtId="4" fontId="11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4" fontId="11" fillId="2" borderId="0" xfId="0" applyNumberFormat="1" applyFont="1" applyFill="1" applyAlignment="1">
      <alignment horizontal="center" vertical="center"/>
    </xf>
    <xf numFmtId="3" fontId="11" fillId="2" borderId="0" xfId="0" applyNumberFormat="1" applyFont="1" applyFill="1" applyAlignment="1">
      <alignment horizontal="center" vertical="center"/>
    </xf>
    <xf numFmtId="0" fontId="11" fillId="4" borderId="0" xfId="0" applyFont="1" applyFill="1"/>
    <xf numFmtId="0" fontId="12" fillId="4" borderId="0" xfId="0" applyFont="1" applyFill="1"/>
    <xf numFmtId="4" fontId="11" fillId="4" borderId="0" xfId="0" applyNumberFormat="1" applyFont="1" applyFill="1" applyAlignment="1">
      <alignment horizontal="center"/>
    </xf>
    <xf numFmtId="3" fontId="11" fillId="4" borderId="0" xfId="0" applyNumberFormat="1" applyFont="1" applyFill="1" applyAlignment="1">
      <alignment horizontal="center"/>
    </xf>
    <xf numFmtId="0" fontId="11" fillId="2" borderId="0" xfId="0" applyFont="1" applyFill="1"/>
    <xf numFmtId="0" fontId="12" fillId="2" borderId="0" xfId="0" applyFont="1" applyFill="1"/>
    <xf numFmtId="3" fontId="11" fillId="2" borderId="0" xfId="0" applyNumberFormat="1" applyFont="1" applyFill="1" applyAlignment="1">
      <alignment horizontal="left"/>
    </xf>
    <xf numFmtId="4" fontId="11" fillId="2" borderId="0" xfId="0" applyNumberFormat="1" applyFont="1" applyFill="1" applyAlignment="1">
      <alignment horizontal="left"/>
    </xf>
    <xf numFmtId="0" fontId="13" fillId="2" borderId="0" xfId="0" applyFont="1" applyFill="1"/>
    <xf numFmtId="49" fontId="14" fillId="2" borderId="0" xfId="0" applyNumberFormat="1" applyFont="1" applyFill="1"/>
    <xf numFmtId="4" fontId="15" fillId="2" borderId="0" xfId="0" applyNumberFormat="1" applyFont="1" applyFill="1" applyAlignment="1">
      <alignment horizontal="left" vertical="center"/>
    </xf>
    <xf numFmtId="4" fontId="13" fillId="0" borderId="0" xfId="0" applyNumberFormat="1" applyFont="1" applyAlignment="1">
      <alignment horizontal="left"/>
    </xf>
    <xf numFmtId="4" fontId="13" fillId="0" borderId="0" xfId="0" applyNumberFormat="1" applyFont="1" applyAlignment="1">
      <alignment horizontal="center"/>
    </xf>
    <xf numFmtId="4" fontId="13" fillId="2" borderId="0" xfId="0" applyNumberFormat="1" applyFont="1" applyFill="1" applyAlignment="1">
      <alignment horizontal="left"/>
    </xf>
    <xf numFmtId="4" fontId="13" fillId="2" borderId="0" xfId="0" applyNumberFormat="1" applyFont="1" applyFill="1" applyAlignment="1">
      <alignment horizontal="center"/>
    </xf>
    <xf numFmtId="4" fontId="16" fillId="2" borderId="0" xfId="0" applyNumberFormat="1" applyFont="1" applyFill="1" applyAlignment="1">
      <alignment horizontal="center"/>
    </xf>
    <xf numFmtId="3" fontId="16" fillId="2" borderId="0" xfId="0" applyNumberFormat="1" applyFont="1" applyFill="1" applyAlignment="1">
      <alignment horizontal="center"/>
    </xf>
    <xf numFmtId="0" fontId="17" fillId="4" borderId="0" xfId="0" applyFont="1" applyFill="1" applyAlignment="1">
      <alignment vertical="center" wrapText="1"/>
    </xf>
    <xf numFmtId="0" fontId="11" fillId="4" borderId="0" xfId="0" applyFont="1" applyFill="1" applyAlignment="1">
      <alignment horizontal="center" vertical="center" wrapText="1"/>
    </xf>
    <xf numFmtId="4" fontId="12" fillId="4" borderId="0" xfId="0" applyNumberFormat="1" applyFont="1" applyFill="1" applyAlignment="1">
      <alignment horizontal="center" vertical="center" wrapText="1"/>
    </xf>
    <xf numFmtId="0" fontId="18" fillId="2" borderId="0" xfId="0" applyFont="1" applyFill="1" applyAlignment="1">
      <alignment horizontal="center"/>
    </xf>
    <xf numFmtId="49" fontId="14" fillId="0" borderId="0" xfId="0" applyNumberFormat="1" applyFont="1"/>
    <xf numFmtId="0" fontId="8" fillId="4" borderId="0" xfId="0" applyFont="1" applyFill="1" applyAlignment="1">
      <alignment horizontal="left" vertical="center"/>
    </xf>
    <xf numFmtId="3" fontId="11" fillId="2" borderId="0" xfId="0" applyNumberFormat="1" applyFont="1" applyFill="1"/>
    <xf numFmtId="49" fontId="19" fillId="2" borderId="0" xfId="0" applyNumberFormat="1" applyFont="1" applyFill="1" applyAlignment="1">
      <alignment horizontal="left"/>
    </xf>
    <xf numFmtId="49" fontId="20" fillId="2" borderId="0" xfId="0" applyNumberFormat="1" applyFont="1" applyFill="1"/>
    <xf numFmtId="49" fontId="9" fillId="0" borderId="0" xfId="0" applyNumberFormat="1" applyFont="1" applyAlignment="1">
      <alignment vertical="center"/>
    </xf>
    <xf numFmtId="0" fontId="11" fillId="0" borderId="0" xfId="0" applyFont="1"/>
    <xf numFmtId="3" fontId="12" fillId="2" borderId="0" xfId="0" applyNumberFormat="1" applyFont="1" applyFill="1" applyAlignment="1">
      <alignment horizontal="center"/>
    </xf>
    <xf numFmtId="0" fontId="1" fillId="0" borderId="0" xfId="0" applyFont="1"/>
    <xf numFmtId="0" fontId="8" fillId="4" borderId="0" xfId="0" applyFont="1" applyFill="1" applyAlignment="1">
      <alignment horizontal="left" vertical="center" wrapText="1"/>
    </xf>
    <xf numFmtId="4" fontId="11" fillId="0" borderId="0" xfId="0" applyNumberFormat="1" applyFont="1" applyAlignment="1">
      <alignment horizontal="center" vertical="center"/>
    </xf>
    <xf numFmtId="3" fontId="0" fillId="0" borderId="0" xfId="0" applyNumberFormat="1" applyAlignment="1">
      <alignment horizontal="center"/>
    </xf>
    <xf numFmtId="49" fontId="9" fillId="2" borderId="0" xfId="0" applyNumberFormat="1" applyFont="1" applyFill="1" applyAlignment="1">
      <alignment horizontal="left"/>
    </xf>
    <xf numFmtId="0" fontId="11" fillId="0" borderId="0" xfId="0" applyFont="1" applyAlignment="1">
      <alignment horizontal="center"/>
    </xf>
    <xf numFmtId="0" fontId="11" fillId="2" borderId="0" xfId="0" applyFont="1" applyFill="1" applyAlignment="1">
      <alignment vertical="center"/>
    </xf>
    <xf numFmtId="0" fontId="21" fillId="0" borderId="0" xfId="0" applyFont="1"/>
    <xf numFmtId="3" fontId="21" fillId="0" borderId="0" xfId="0" applyNumberFormat="1" applyFont="1"/>
    <xf numFmtId="0" fontId="12" fillId="2" borderId="0" xfId="0" applyFont="1" applyFill="1" applyAlignment="1">
      <alignment vertical="center" wrapText="1"/>
    </xf>
    <xf numFmtId="0" fontId="12" fillId="2" borderId="0" xfId="0" applyFont="1" applyFill="1" applyAlignment="1">
      <alignment horizontal="left" vertical="center" wrapText="1"/>
    </xf>
    <xf numFmtId="0" fontId="11" fillId="2" borderId="0" xfId="0" applyFont="1" applyFill="1" applyAlignment="1">
      <alignment horizontal="left" vertical="center" wrapText="1"/>
    </xf>
    <xf numFmtId="4" fontId="11" fillId="2" borderId="0" xfId="0" applyNumberFormat="1" applyFont="1" applyFill="1" applyAlignment="1">
      <alignment horizontal="center" vertical="center" wrapText="1"/>
    </xf>
    <xf numFmtId="3" fontId="11" fillId="2" borderId="0" xfId="0" applyNumberFormat="1" applyFont="1" applyFill="1" applyAlignment="1">
      <alignment horizontal="center" vertical="center" wrapText="1"/>
    </xf>
    <xf numFmtId="4" fontId="12" fillId="2" borderId="0" xfId="0" applyNumberFormat="1" applyFont="1" applyFill="1" applyAlignment="1">
      <alignment horizontal="center"/>
    </xf>
    <xf numFmtId="49" fontId="22" fillId="0" borderId="0" xfId="0" applyNumberFormat="1" applyFont="1" applyAlignment="1">
      <alignment vertical="center"/>
    </xf>
    <xf numFmtId="49" fontId="21" fillId="2" borderId="0" xfId="0" applyNumberFormat="1" applyFont="1" applyFill="1" applyAlignment="1">
      <alignment horizontal="center" wrapText="1"/>
    </xf>
    <xf numFmtId="3" fontId="21" fillId="2" borderId="0" xfId="0" applyNumberFormat="1" applyFont="1" applyFill="1" applyAlignment="1">
      <alignment horizontal="center" wrapText="1"/>
    </xf>
    <xf numFmtId="0" fontId="12" fillId="2" borderId="0" xfId="0" applyFont="1" applyFill="1" applyAlignment="1">
      <alignment horizontal="center" vertical="center"/>
    </xf>
    <xf numFmtId="3" fontId="9" fillId="2" borderId="0" xfId="0" applyNumberFormat="1" applyFont="1" applyFill="1" applyAlignment="1">
      <alignment horizontal="left"/>
    </xf>
    <xf numFmtId="49" fontId="11" fillId="2" borderId="0" xfId="0" applyNumberFormat="1" applyFont="1" applyFill="1"/>
    <xf numFmtId="0" fontId="14" fillId="0" borderId="0" xfId="0" applyFont="1"/>
    <xf numFmtId="0" fontId="24" fillId="0" borderId="0" xfId="0" applyFont="1"/>
    <xf numFmtId="4" fontId="16" fillId="0" borderId="0" xfId="0" applyNumberFormat="1" applyFont="1" applyAlignment="1">
      <alignment horizontal="center"/>
    </xf>
    <xf numFmtId="3" fontId="16" fillId="0" borderId="0" xfId="0" applyNumberFormat="1" applyFont="1" applyAlignment="1">
      <alignment horizontal="center"/>
    </xf>
    <xf numFmtId="0" fontId="13" fillId="2" borderId="0" xfId="0" applyFont="1" applyFill="1" applyAlignment="1">
      <alignment horizontal="center"/>
    </xf>
    <xf numFmtId="0" fontId="14" fillId="2" borderId="0" xfId="0" applyFont="1" applyFill="1"/>
    <xf numFmtId="0" fontId="21" fillId="2" borderId="0" xfId="0" applyFont="1" applyFill="1"/>
    <xf numFmtId="3" fontId="16" fillId="2" borderId="0" xfId="0" applyNumberFormat="1" applyFont="1" applyFill="1" applyAlignment="1">
      <alignment horizontal="left"/>
    </xf>
    <xf numFmtId="4" fontId="16" fillId="2" borderId="0" xfId="0" applyNumberFormat="1" applyFont="1" applyFill="1" applyAlignment="1">
      <alignment horizontal="left"/>
    </xf>
    <xf numFmtId="49" fontId="21" fillId="2" borderId="0" xfId="0" applyNumberFormat="1" applyFont="1" applyFill="1" applyAlignment="1">
      <alignment horizontal="left"/>
    </xf>
    <xf numFmtId="0" fontId="12" fillId="0" borderId="0" xfId="0" applyFont="1"/>
    <xf numFmtId="3" fontId="1" fillId="0" borderId="0" xfId="0" applyNumberFormat="1" applyFont="1"/>
    <xf numFmtId="0" fontId="12" fillId="0" borderId="0" xfId="0" applyFont="1" applyAlignment="1">
      <alignment horizontal="center" vertical="center"/>
    </xf>
    <xf numFmtId="3" fontId="12" fillId="0" borderId="0" xfId="0" applyNumberFormat="1" applyFont="1" applyAlignment="1">
      <alignment horizontal="center" vertical="center"/>
    </xf>
    <xf numFmtId="3" fontId="12" fillId="0" borderId="0" xfId="0" applyNumberFormat="1" applyFont="1" applyAlignment="1">
      <alignment horizontal="left"/>
    </xf>
    <xf numFmtId="0" fontId="9" fillId="2" borderId="0" xfId="0" applyFont="1" applyFill="1"/>
    <xf numFmtId="3" fontId="12" fillId="2" borderId="0" xfId="0" applyNumberFormat="1" applyFont="1" applyFill="1" applyAlignment="1">
      <alignment horizontal="center" vertical="center"/>
    </xf>
    <xf numFmtId="0" fontId="21" fillId="2" borderId="0" xfId="0" applyFont="1" applyFill="1" applyAlignment="1">
      <alignment horizontal="left"/>
    </xf>
    <xf numFmtId="0" fontId="17" fillId="4" borderId="0" xfId="0" applyFont="1" applyFill="1" applyAlignment="1">
      <alignment horizontal="left" vertical="center" wrapText="1"/>
    </xf>
    <xf numFmtId="3" fontId="12" fillId="4" borderId="0" xfId="0" applyNumberFormat="1" applyFont="1" applyFill="1" applyAlignment="1">
      <alignment horizontal="center" vertical="center" wrapText="1"/>
    </xf>
    <xf numFmtId="0" fontId="21" fillId="2" borderId="0" xfId="0" applyFont="1" applyFill="1" applyAlignment="1">
      <alignment vertical="center"/>
    </xf>
    <xf numFmtId="4" fontId="16" fillId="2" borderId="0" xfId="0" applyNumberFormat="1" applyFont="1" applyFill="1" applyAlignment="1">
      <alignment horizontal="left" vertical="center"/>
    </xf>
    <xf numFmtId="4" fontId="21" fillId="2" borderId="0" xfId="0" applyNumberFormat="1" applyFont="1" applyFill="1" applyAlignment="1">
      <alignment horizontal="center" vertical="center"/>
    </xf>
    <xf numFmtId="4" fontId="16" fillId="2" borderId="0" xfId="0" applyNumberFormat="1" applyFont="1" applyFill="1" applyAlignment="1">
      <alignment horizontal="center" vertical="center"/>
    </xf>
    <xf numFmtId="3" fontId="16" fillId="2" borderId="0" xfId="0" applyNumberFormat="1" applyFont="1" applyFill="1" applyAlignment="1">
      <alignment horizontal="center" vertical="center"/>
    </xf>
    <xf numFmtId="0" fontId="14" fillId="4" borderId="0" xfId="0" applyFont="1" applyFill="1"/>
    <xf numFmtId="0" fontId="16" fillId="4" borderId="0" xfId="0" applyFont="1" applyFill="1"/>
    <xf numFmtId="4" fontId="16" fillId="4" borderId="0" xfId="0" applyNumberFormat="1" applyFont="1" applyFill="1" applyAlignment="1">
      <alignment horizontal="center"/>
    </xf>
    <xf numFmtId="3" fontId="16" fillId="4" borderId="0" xfId="0" applyNumberFormat="1" applyFont="1" applyFill="1" applyAlignment="1">
      <alignment horizontal="center"/>
    </xf>
    <xf numFmtId="0" fontId="16" fillId="2" borderId="0" xfId="0" applyFont="1" applyFill="1"/>
    <xf numFmtId="0" fontId="25" fillId="2" borderId="0" xfId="0" applyFont="1" applyFill="1" applyAlignment="1">
      <alignment vertical="center"/>
    </xf>
    <xf numFmtId="2" fontId="11" fillId="2" borderId="0" xfId="0" applyNumberFormat="1" applyFont="1" applyFill="1" applyAlignment="1">
      <alignment horizontal="left" vertical="center" wrapText="1"/>
    </xf>
    <xf numFmtId="49" fontId="12" fillId="4" borderId="0" xfId="0" applyNumberFormat="1" applyFont="1" applyFill="1" applyAlignment="1">
      <alignment horizontal="center" vertical="center" wrapText="1"/>
    </xf>
    <xf numFmtId="0" fontId="12" fillId="6" borderId="0" xfId="0" applyFont="1" applyFill="1" applyAlignment="1">
      <alignment vertical="center"/>
    </xf>
    <xf numFmtId="49" fontId="14" fillId="4" borderId="0" xfId="0" applyNumberFormat="1" applyFont="1" applyFill="1"/>
    <xf numFmtId="49" fontId="13" fillId="4" borderId="0" xfId="0" applyNumberFormat="1" applyFont="1" applyFill="1"/>
    <xf numFmtId="4" fontId="13" fillId="4" borderId="0" xfId="0" applyNumberFormat="1" applyFont="1" applyFill="1" applyAlignment="1">
      <alignment horizontal="left"/>
    </xf>
    <xf numFmtId="4" fontId="13" fillId="4" borderId="0" xfId="0" applyNumberFormat="1" applyFont="1" applyFill="1" applyAlignment="1">
      <alignment horizontal="center"/>
    </xf>
    <xf numFmtId="0" fontId="22" fillId="2" borderId="0" xfId="0" applyFont="1" applyFill="1" applyAlignment="1">
      <alignment vertical="center" wrapText="1"/>
    </xf>
    <xf numFmtId="0" fontId="14" fillId="4" borderId="0" xfId="0" applyFont="1" applyFill="1" applyAlignment="1">
      <alignment horizontal="center" vertical="center" wrapText="1"/>
    </xf>
    <xf numFmtId="4" fontId="21" fillId="4" borderId="0" xfId="0" applyNumberFormat="1" applyFont="1" applyFill="1" applyAlignment="1">
      <alignment horizontal="center" vertical="center" wrapText="1"/>
    </xf>
    <xf numFmtId="4" fontId="27" fillId="2" borderId="0" xfId="0" applyNumberFormat="1" applyFont="1" applyFill="1" applyAlignment="1">
      <alignment horizontal="left" vertical="center"/>
    </xf>
    <xf numFmtId="4" fontId="28" fillId="0" borderId="0" xfId="0" applyNumberFormat="1" applyFont="1" applyAlignment="1">
      <alignment horizontal="left"/>
    </xf>
    <xf numFmtId="0" fontId="29" fillId="7" borderId="0" xfId="0" applyFont="1" applyFill="1"/>
    <xf numFmtId="0" fontId="1" fillId="7" borderId="0" xfId="0" applyFont="1" applyFill="1" applyAlignment="1">
      <alignment horizontal="center"/>
    </xf>
    <xf numFmtId="3" fontId="1" fillId="7" borderId="0" xfId="0" applyNumberFormat="1" applyFont="1" applyFill="1" applyAlignment="1">
      <alignment horizontal="center"/>
    </xf>
    <xf numFmtId="0" fontId="13" fillId="0" borderId="0" xfId="0" applyFont="1" applyAlignment="1">
      <alignment horizontal="center"/>
    </xf>
    <xf numFmtId="0" fontId="16" fillId="0" borderId="0" xfId="0" applyFont="1"/>
    <xf numFmtId="0" fontId="30" fillId="4" borderId="0" xfId="0" applyFont="1" applyFill="1" applyAlignment="1">
      <alignment horizontal="left" vertical="center" wrapText="1"/>
    </xf>
    <xf numFmtId="49" fontId="13" fillId="2" borderId="0" xfId="0" applyNumberFormat="1" applyFont="1" applyFill="1"/>
    <xf numFmtId="2" fontId="11" fillId="2" borderId="0" xfId="0" applyNumberFormat="1" applyFont="1" applyFill="1" applyAlignment="1">
      <alignment horizontal="left" vertical="center"/>
    </xf>
    <xf numFmtId="0" fontId="0" fillId="7" borderId="0" xfId="0" applyFill="1"/>
    <xf numFmtId="0" fontId="0" fillId="8" borderId="0" xfId="0" applyFill="1"/>
    <xf numFmtId="3" fontId="12" fillId="2" borderId="0" xfId="0" applyNumberFormat="1" applyFont="1" applyFill="1" applyAlignment="1">
      <alignment horizontal="left"/>
    </xf>
    <xf numFmtId="0" fontId="33" fillId="3" borderId="0" xfId="0" applyFont="1" applyFill="1" applyAlignment="1">
      <alignment horizontal="center" wrapText="1"/>
    </xf>
    <xf numFmtId="0" fontId="33" fillId="4" borderId="0" xfId="0" applyFont="1" applyFill="1" applyAlignment="1">
      <alignment vertical="center" wrapText="1"/>
    </xf>
    <xf numFmtId="0" fontId="35" fillId="4" borderId="0" xfId="0" applyFont="1" applyFill="1" applyAlignment="1">
      <alignment vertical="center" wrapText="1"/>
    </xf>
    <xf numFmtId="0" fontId="33" fillId="4" borderId="0" xfId="0" applyFont="1" applyFill="1" applyAlignment="1">
      <alignment horizontal="left" vertical="center"/>
    </xf>
    <xf numFmtId="0" fontId="33" fillId="4" borderId="0" xfId="0" applyFont="1" applyFill="1" applyAlignment="1">
      <alignment horizontal="left" vertical="center" wrapText="1"/>
    </xf>
    <xf numFmtId="0" fontId="35" fillId="4" borderId="0" xfId="0" applyFont="1" applyFill="1" applyAlignment="1">
      <alignment horizontal="left" vertical="center" wrapText="1"/>
    </xf>
    <xf numFmtId="0" fontId="34" fillId="0" borderId="0" xfId="0" applyFont="1"/>
    <xf numFmtId="0" fontId="36" fillId="0" borderId="0" xfId="0" applyFont="1"/>
    <xf numFmtId="0" fontId="3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37" fillId="4" borderId="0" xfId="0" applyFont="1" applyFill="1" applyAlignment="1">
      <alignment horizontal="left" vertical="center" wrapText="1"/>
    </xf>
    <xf numFmtId="0" fontId="2" fillId="2" borderId="0" xfId="0" applyFont="1" applyFill="1" applyAlignment="1">
      <alignment horizontal="center"/>
    </xf>
    <xf numFmtId="0" fontId="6" fillId="0" borderId="2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left" vertical="center" wrapText="1"/>
    </xf>
    <xf numFmtId="0" fontId="7" fillId="0" borderId="3" xfId="0" applyFont="1" applyBorder="1" applyAlignment="1">
      <alignment horizontal="left"/>
    </xf>
    <xf numFmtId="0" fontId="7" fillId="0" borderId="5" xfId="0" applyFont="1" applyBorder="1" applyAlignment="1">
      <alignment horizontal="left"/>
    </xf>
    <xf numFmtId="0" fontId="3" fillId="2" borderId="5" xfId="0" applyFont="1" applyFill="1" applyBorder="1" applyAlignment="1">
      <alignment horizontal="center" vertical="center"/>
    </xf>
    <xf numFmtId="165" fontId="2" fillId="2" borderId="6" xfId="3" applyNumberFormat="1" applyFont="1" applyFill="1" applyBorder="1" applyAlignment="1" applyProtection="1">
      <alignment horizontal="left" vertical="center" wrapText="1"/>
    </xf>
    <xf numFmtId="0" fontId="7" fillId="0" borderId="9" xfId="0" applyFont="1" applyBorder="1" applyAlignment="1">
      <alignment horizontal="left"/>
    </xf>
    <xf numFmtId="0" fontId="2" fillId="0" borderId="0" xfId="0" applyFont="1" applyAlignment="1">
      <alignment horizontal="center" vertical="center" wrapText="1"/>
    </xf>
    <xf numFmtId="165" fontId="2" fillId="2" borderId="10" xfId="3" applyNumberFormat="1" applyFont="1" applyFill="1" applyBorder="1" applyAlignment="1" applyProtection="1">
      <alignment horizontal="left" vertical="center"/>
    </xf>
    <xf numFmtId="0" fontId="2" fillId="0" borderId="0" xfId="0" applyFont="1" applyAlignment="1">
      <alignment horizontal="center" vertical="top" wrapText="1"/>
    </xf>
    <xf numFmtId="49" fontId="9" fillId="3" borderId="0" xfId="0" applyNumberFormat="1" applyFont="1" applyFill="1" applyAlignment="1">
      <alignment horizontal="center" vertical="center" wrapText="1"/>
    </xf>
    <xf numFmtId="49" fontId="9" fillId="4" borderId="0" xfId="0" applyNumberFormat="1" applyFont="1" applyFill="1" applyAlignment="1">
      <alignment horizontal="center" vertical="center" wrapText="1"/>
    </xf>
    <xf numFmtId="0" fontId="1" fillId="0" borderId="0" xfId="0" applyFont="1"/>
    <xf numFmtId="0" fontId="8" fillId="4" borderId="0" xfId="0" applyFont="1" applyFill="1" applyAlignment="1">
      <alignment horizontal="left" vertical="center" wrapText="1"/>
    </xf>
    <xf numFmtId="49" fontId="21" fillId="5" borderId="0" xfId="0" applyNumberFormat="1" applyFont="1" applyFill="1" applyAlignment="1">
      <alignment horizontal="center" wrapText="1"/>
    </xf>
    <xf numFmtId="0" fontId="12" fillId="2" borderId="0" xfId="0" applyFont="1" applyFill="1" applyAlignment="1">
      <alignment horizontal="center" vertical="center"/>
    </xf>
    <xf numFmtId="0" fontId="17" fillId="4" borderId="0" xfId="0" applyFont="1" applyFill="1" applyAlignment="1">
      <alignment horizontal="left" vertical="center" wrapText="1"/>
    </xf>
    <xf numFmtId="0" fontId="38" fillId="0" borderId="0" xfId="0" applyFont="1" applyAlignment="1">
      <alignment horizontal="center"/>
    </xf>
    <xf numFmtId="0" fontId="38" fillId="0" borderId="0" xfId="0" applyFont="1"/>
    <xf numFmtId="0" fontId="39" fillId="0" borderId="0" xfId="0" applyFont="1"/>
    <xf numFmtId="0" fontId="39" fillId="0" borderId="0" xfId="0" applyFont="1" applyAlignment="1">
      <alignment horizontal="center"/>
    </xf>
  </cellXfs>
  <cellStyles count="5">
    <cellStyle name="Normal" xfId="0" builtinId="0"/>
    <cellStyle name="Normal 2" xfId="1" xr:uid="{00000000-0005-0000-0000-000006000000}"/>
    <cellStyle name="Porcentagem 2" xfId="2" xr:uid="{00000000-0005-0000-0000-000007000000}"/>
    <cellStyle name="Vírgula 2" xfId="3" xr:uid="{00000000-0005-0000-0000-000008000000}"/>
    <cellStyle name="Vírgula 3" xfId="4" xr:uid="{00000000-0005-0000-0000-000009000000}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BFBFBF"/>
      <rgbColor rgb="FF808080"/>
      <rgbColor rgb="FF9999FF"/>
      <rgbColor rgb="FF993366"/>
      <rgbColor rgb="FFF3F3F3"/>
      <rgbColor rgb="FFCCFFFF"/>
      <rgbColor rgb="FF660066"/>
      <rgbColor rgb="FFFF8080"/>
      <rgbColor rgb="FF0066CC"/>
      <rgbColor rgb="FFD0CECE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D9D9D9"/>
      <rgbColor rgb="FFFFFF99"/>
      <rgbColor rgb="FF99CCFF"/>
      <rgbColor rgb="FFFF99CC"/>
      <rgbColor rgb="FFCC99FF"/>
      <rgbColor rgb="FFE3DFA7"/>
      <rgbColor rgb="FF3366CC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171616"/>
      <rgbColor rgb="FF333300"/>
      <rgbColor rgb="FF993300"/>
      <rgbColor rgb="FF993366"/>
      <rgbColor rgb="FF2F5496"/>
      <rgbColor rgb="FF3A3838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8.png"/><Relationship Id="rId21" Type="http://schemas.openxmlformats.org/officeDocument/2006/relationships/image" Target="../media/image22.jpeg"/><Relationship Id="rId42" Type="http://schemas.openxmlformats.org/officeDocument/2006/relationships/image" Target="../media/image43.jpeg"/><Relationship Id="rId63" Type="http://schemas.openxmlformats.org/officeDocument/2006/relationships/image" Target="../media/image64.jpeg"/><Relationship Id="rId84" Type="http://schemas.openxmlformats.org/officeDocument/2006/relationships/image" Target="../media/image85.png"/><Relationship Id="rId138" Type="http://schemas.openxmlformats.org/officeDocument/2006/relationships/image" Target="../media/image139.png"/><Relationship Id="rId159" Type="http://schemas.openxmlformats.org/officeDocument/2006/relationships/image" Target="../media/image160.png"/><Relationship Id="rId107" Type="http://schemas.openxmlformats.org/officeDocument/2006/relationships/image" Target="../media/image108.png"/><Relationship Id="rId11" Type="http://schemas.openxmlformats.org/officeDocument/2006/relationships/image" Target="../media/image12.jpeg"/><Relationship Id="rId32" Type="http://schemas.openxmlformats.org/officeDocument/2006/relationships/image" Target="../media/image33.jpeg"/><Relationship Id="rId53" Type="http://schemas.openxmlformats.org/officeDocument/2006/relationships/image" Target="../media/image54.jpeg"/><Relationship Id="rId74" Type="http://schemas.openxmlformats.org/officeDocument/2006/relationships/image" Target="../media/image75.png"/><Relationship Id="rId128" Type="http://schemas.openxmlformats.org/officeDocument/2006/relationships/image" Target="../media/image129.png"/><Relationship Id="rId149" Type="http://schemas.openxmlformats.org/officeDocument/2006/relationships/image" Target="../media/image150.png"/><Relationship Id="rId5" Type="http://schemas.openxmlformats.org/officeDocument/2006/relationships/image" Target="../media/image6.jpeg"/><Relationship Id="rId95" Type="http://schemas.openxmlformats.org/officeDocument/2006/relationships/image" Target="../media/image96.png"/><Relationship Id="rId160" Type="http://schemas.openxmlformats.org/officeDocument/2006/relationships/image" Target="../media/image161.png"/><Relationship Id="rId22" Type="http://schemas.openxmlformats.org/officeDocument/2006/relationships/image" Target="../media/image23.jpeg"/><Relationship Id="rId43" Type="http://schemas.openxmlformats.org/officeDocument/2006/relationships/image" Target="../media/image44.jpeg"/><Relationship Id="rId64" Type="http://schemas.openxmlformats.org/officeDocument/2006/relationships/image" Target="../media/image65.jpeg"/><Relationship Id="rId118" Type="http://schemas.openxmlformats.org/officeDocument/2006/relationships/image" Target="../media/image119.png"/><Relationship Id="rId139" Type="http://schemas.openxmlformats.org/officeDocument/2006/relationships/image" Target="../media/image140.png"/><Relationship Id="rId85" Type="http://schemas.openxmlformats.org/officeDocument/2006/relationships/image" Target="../media/image86.png"/><Relationship Id="rId150" Type="http://schemas.openxmlformats.org/officeDocument/2006/relationships/image" Target="../media/image151.png"/><Relationship Id="rId12" Type="http://schemas.openxmlformats.org/officeDocument/2006/relationships/image" Target="../media/image13.jpeg"/><Relationship Id="rId17" Type="http://schemas.openxmlformats.org/officeDocument/2006/relationships/image" Target="../media/image18.jpeg"/><Relationship Id="rId33" Type="http://schemas.openxmlformats.org/officeDocument/2006/relationships/image" Target="../media/image34.jpeg"/><Relationship Id="rId38" Type="http://schemas.openxmlformats.org/officeDocument/2006/relationships/image" Target="../media/image39.jpeg"/><Relationship Id="rId59" Type="http://schemas.openxmlformats.org/officeDocument/2006/relationships/image" Target="../media/image60.jpeg"/><Relationship Id="rId103" Type="http://schemas.openxmlformats.org/officeDocument/2006/relationships/image" Target="../media/image104.png"/><Relationship Id="rId108" Type="http://schemas.openxmlformats.org/officeDocument/2006/relationships/image" Target="../media/image109.png"/><Relationship Id="rId124" Type="http://schemas.openxmlformats.org/officeDocument/2006/relationships/image" Target="../media/image125.png"/><Relationship Id="rId129" Type="http://schemas.openxmlformats.org/officeDocument/2006/relationships/image" Target="../media/image130.png"/><Relationship Id="rId54" Type="http://schemas.openxmlformats.org/officeDocument/2006/relationships/image" Target="../media/image55.jpeg"/><Relationship Id="rId70" Type="http://schemas.openxmlformats.org/officeDocument/2006/relationships/image" Target="../media/image71.jpeg"/><Relationship Id="rId75" Type="http://schemas.openxmlformats.org/officeDocument/2006/relationships/image" Target="../media/image76.png"/><Relationship Id="rId91" Type="http://schemas.openxmlformats.org/officeDocument/2006/relationships/image" Target="../media/image92.png"/><Relationship Id="rId96" Type="http://schemas.openxmlformats.org/officeDocument/2006/relationships/image" Target="../media/image97.png"/><Relationship Id="rId140" Type="http://schemas.openxmlformats.org/officeDocument/2006/relationships/image" Target="../media/image141.png"/><Relationship Id="rId145" Type="http://schemas.openxmlformats.org/officeDocument/2006/relationships/image" Target="../media/image146.png"/><Relationship Id="rId161" Type="http://schemas.openxmlformats.org/officeDocument/2006/relationships/image" Target="../media/image162.png"/><Relationship Id="rId166" Type="http://schemas.openxmlformats.org/officeDocument/2006/relationships/image" Target="../media/image167.png"/><Relationship Id="rId1" Type="http://schemas.openxmlformats.org/officeDocument/2006/relationships/image" Target="../media/image2.jpeg"/><Relationship Id="rId6" Type="http://schemas.openxmlformats.org/officeDocument/2006/relationships/image" Target="../media/image7.png"/><Relationship Id="rId23" Type="http://schemas.openxmlformats.org/officeDocument/2006/relationships/image" Target="../media/image24.jpeg"/><Relationship Id="rId28" Type="http://schemas.openxmlformats.org/officeDocument/2006/relationships/image" Target="../media/image29.jpeg"/><Relationship Id="rId49" Type="http://schemas.openxmlformats.org/officeDocument/2006/relationships/image" Target="../media/image50.jpeg"/><Relationship Id="rId114" Type="http://schemas.openxmlformats.org/officeDocument/2006/relationships/image" Target="../media/image115.png"/><Relationship Id="rId119" Type="http://schemas.openxmlformats.org/officeDocument/2006/relationships/image" Target="../media/image120.png"/><Relationship Id="rId44" Type="http://schemas.openxmlformats.org/officeDocument/2006/relationships/image" Target="../media/image45.jpeg"/><Relationship Id="rId60" Type="http://schemas.openxmlformats.org/officeDocument/2006/relationships/image" Target="../media/image61.jpeg"/><Relationship Id="rId65" Type="http://schemas.openxmlformats.org/officeDocument/2006/relationships/image" Target="../media/image66.jpeg"/><Relationship Id="rId81" Type="http://schemas.openxmlformats.org/officeDocument/2006/relationships/image" Target="../media/image82.png"/><Relationship Id="rId86" Type="http://schemas.openxmlformats.org/officeDocument/2006/relationships/image" Target="../media/image87.png"/><Relationship Id="rId130" Type="http://schemas.openxmlformats.org/officeDocument/2006/relationships/image" Target="../media/image131.png"/><Relationship Id="rId135" Type="http://schemas.openxmlformats.org/officeDocument/2006/relationships/image" Target="../media/image136.png"/><Relationship Id="rId151" Type="http://schemas.openxmlformats.org/officeDocument/2006/relationships/image" Target="../media/image152.png"/><Relationship Id="rId156" Type="http://schemas.openxmlformats.org/officeDocument/2006/relationships/image" Target="../media/image157.png"/><Relationship Id="rId13" Type="http://schemas.openxmlformats.org/officeDocument/2006/relationships/image" Target="../media/image14.jpeg"/><Relationship Id="rId18" Type="http://schemas.openxmlformats.org/officeDocument/2006/relationships/image" Target="../media/image19.jpeg"/><Relationship Id="rId39" Type="http://schemas.openxmlformats.org/officeDocument/2006/relationships/image" Target="../media/image40.jpeg"/><Relationship Id="rId109" Type="http://schemas.openxmlformats.org/officeDocument/2006/relationships/image" Target="../media/image110.png"/><Relationship Id="rId34" Type="http://schemas.openxmlformats.org/officeDocument/2006/relationships/image" Target="../media/image35.jpeg"/><Relationship Id="rId50" Type="http://schemas.openxmlformats.org/officeDocument/2006/relationships/image" Target="../media/image51.jpeg"/><Relationship Id="rId55" Type="http://schemas.openxmlformats.org/officeDocument/2006/relationships/image" Target="../media/image56.jpeg"/><Relationship Id="rId76" Type="http://schemas.openxmlformats.org/officeDocument/2006/relationships/image" Target="../media/image77.png"/><Relationship Id="rId97" Type="http://schemas.openxmlformats.org/officeDocument/2006/relationships/image" Target="../media/image98.png"/><Relationship Id="rId104" Type="http://schemas.openxmlformats.org/officeDocument/2006/relationships/image" Target="../media/image105.png"/><Relationship Id="rId120" Type="http://schemas.openxmlformats.org/officeDocument/2006/relationships/image" Target="../media/image121.png"/><Relationship Id="rId125" Type="http://schemas.openxmlformats.org/officeDocument/2006/relationships/image" Target="../media/image126.png"/><Relationship Id="rId141" Type="http://schemas.openxmlformats.org/officeDocument/2006/relationships/image" Target="../media/image142.png"/><Relationship Id="rId146" Type="http://schemas.openxmlformats.org/officeDocument/2006/relationships/image" Target="../media/image147.png"/><Relationship Id="rId7" Type="http://schemas.openxmlformats.org/officeDocument/2006/relationships/image" Target="../media/image8.jpeg"/><Relationship Id="rId71" Type="http://schemas.openxmlformats.org/officeDocument/2006/relationships/image" Target="../media/image72.jpeg"/><Relationship Id="rId92" Type="http://schemas.openxmlformats.org/officeDocument/2006/relationships/image" Target="../media/image93.png"/><Relationship Id="rId162" Type="http://schemas.openxmlformats.org/officeDocument/2006/relationships/image" Target="../media/image163.png"/><Relationship Id="rId2" Type="http://schemas.openxmlformats.org/officeDocument/2006/relationships/image" Target="../media/image3.jpeg"/><Relationship Id="rId29" Type="http://schemas.openxmlformats.org/officeDocument/2006/relationships/image" Target="../media/image30.jpeg"/><Relationship Id="rId24" Type="http://schemas.openxmlformats.org/officeDocument/2006/relationships/image" Target="../media/image25.jpeg"/><Relationship Id="rId40" Type="http://schemas.openxmlformats.org/officeDocument/2006/relationships/image" Target="../media/image41.jpeg"/><Relationship Id="rId45" Type="http://schemas.openxmlformats.org/officeDocument/2006/relationships/image" Target="../media/image46.jpeg"/><Relationship Id="rId66" Type="http://schemas.openxmlformats.org/officeDocument/2006/relationships/image" Target="../media/image67.jpeg"/><Relationship Id="rId87" Type="http://schemas.openxmlformats.org/officeDocument/2006/relationships/image" Target="../media/image88.png"/><Relationship Id="rId110" Type="http://schemas.openxmlformats.org/officeDocument/2006/relationships/image" Target="../media/image111.png"/><Relationship Id="rId115" Type="http://schemas.openxmlformats.org/officeDocument/2006/relationships/image" Target="../media/image116.png"/><Relationship Id="rId131" Type="http://schemas.openxmlformats.org/officeDocument/2006/relationships/image" Target="../media/image132.png"/><Relationship Id="rId136" Type="http://schemas.openxmlformats.org/officeDocument/2006/relationships/image" Target="../media/image137.png"/><Relationship Id="rId157" Type="http://schemas.openxmlformats.org/officeDocument/2006/relationships/image" Target="../media/image158.png"/><Relationship Id="rId61" Type="http://schemas.openxmlformats.org/officeDocument/2006/relationships/image" Target="../media/image62.jpeg"/><Relationship Id="rId82" Type="http://schemas.openxmlformats.org/officeDocument/2006/relationships/image" Target="../media/image83.png"/><Relationship Id="rId152" Type="http://schemas.openxmlformats.org/officeDocument/2006/relationships/image" Target="../media/image153.png"/><Relationship Id="rId19" Type="http://schemas.openxmlformats.org/officeDocument/2006/relationships/image" Target="../media/image20.jpeg"/><Relationship Id="rId14" Type="http://schemas.openxmlformats.org/officeDocument/2006/relationships/image" Target="../media/image15.jpeg"/><Relationship Id="rId30" Type="http://schemas.openxmlformats.org/officeDocument/2006/relationships/image" Target="../media/image31.jpeg"/><Relationship Id="rId35" Type="http://schemas.openxmlformats.org/officeDocument/2006/relationships/image" Target="../media/image36.jpeg"/><Relationship Id="rId56" Type="http://schemas.openxmlformats.org/officeDocument/2006/relationships/image" Target="../media/image57.jpeg"/><Relationship Id="rId77" Type="http://schemas.openxmlformats.org/officeDocument/2006/relationships/image" Target="../media/image78.jpeg"/><Relationship Id="rId100" Type="http://schemas.openxmlformats.org/officeDocument/2006/relationships/image" Target="../media/image101.png"/><Relationship Id="rId105" Type="http://schemas.openxmlformats.org/officeDocument/2006/relationships/image" Target="../media/image106.png"/><Relationship Id="rId126" Type="http://schemas.openxmlformats.org/officeDocument/2006/relationships/image" Target="../media/image127.png"/><Relationship Id="rId147" Type="http://schemas.openxmlformats.org/officeDocument/2006/relationships/image" Target="../media/image148.png"/><Relationship Id="rId8" Type="http://schemas.openxmlformats.org/officeDocument/2006/relationships/image" Target="../media/image9.jpeg"/><Relationship Id="rId51" Type="http://schemas.openxmlformats.org/officeDocument/2006/relationships/image" Target="../media/image52.jpeg"/><Relationship Id="rId72" Type="http://schemas.openxmlformats.org/officeDocument/2006/relationships/image" Target="../media/image73.jpeg"/><Relationship Id="rId93" Type="http://schemas.openxmlformats.org/officeDocument/2006/relationships/image" Target="../media/image94.png"/><Relationship Id="rId98" Type="http://schemas.openxmlformats.org/officeDocument/2006/relationships/image" Target="../media/image99.png"/><Relationship Id="rId121" Type="http://schemas.openxmlformats.org/officeDocument/2006/relationships/image" Target="../media/image122.png"/><Relationship Id="rId142" Type="http://schemas.openxmlformats.org/officeDocument/2006/relationships/image" Target="../media/image143.png"/><Relationship Id="rId163" Type="http://schemas.openxmlformats.org/officeDocument/2006/relationships/image" Target="../media/image164.png"/><Relationship Id="rId3" Type="http://schemas.openxmlformats.org/officeDocument/2006/relationships/image" Target="../media/image4.jpeg"/><Relationship Id="rId25" Type="http://schemas.openxmlformats.org/officeDocument/2006/relationships/image" Target="../media/image26.jpeg"/><Relationship Id="rId46" Type="http://schemas.openxmlformats.org/officeDocument/2006/relationships/image" Target="../media/image47.jpeg"/><Relationship Id="rId67" Type="http://schemas.openxmlformats.org/officeDocument/2006/relationships/image" Target="../media/image68.jpeg"/><Relationship Id="rId116" Type="http://schemas.openxmlformats.org/officeDocument/2006/relationships/image" Target="../media/image117.png"/><Relationship Id="rId137" Type="http://schemas.openxmlformats.org/officeDocument/2006/relationships/image" Target="../media/image138.png"/><Relationship Id="rId158" Type="http://schemas.openxmlformats.org/officeDocument/2006/relationships/image" Target="../media/image159.png"/><Relationship Id="rId20" Type="http://schemas.openxmlformats.org/officeDocument/2006/relationships/image" Target="../media/image21.jpeg"/><Relationship Id="rId41" Type="http://schemas.openxmlformats.org/officeDocument/2006/relationships/image" Target="../media/image42.jpeg"/><Relationship Id="rId62" Type="http://schemas.openxmlformats.org/officeDocument/2006/relationships/image" Target="../media/image63.jpeg"/><Relationship Id="rId83" Type="http://schemas.openxmlformats.org/officeDocument/2006/relationships/image" Target="../media/image84.png"/><Relationship Id="rId88" Type="http://schemas.openxmlformats.org/officeDocument/2006/relationships/image" Target="../media/image89.png"/><Relationship Id="rId111" Type="http://schemas.openxmlformats.org/officeDocument/2006/relationships/image" Target="../media/image112.png"/><Relationship Id="rId132" Type="http://schemas.openxmlformats.org/officeDocument/2006/relationships/image" Target="../media/image133.png"/><Relationship Id="rId153" Type="http://schemas.openxmlformats.org/officeDocument/2006/relationships/image" Target="../media/image154.png"/><Relationship Id="rId15" Type="http://schemas.openxmlformats.org/officeDocument/2006/relationships/image" Target="../media/image16.jpeg"/><Relationship Id="rId36" Type="http://schemas.openxmlformats.org/officeDocument/2006/relationships/image" Target="../media/image37.jpeg"/><Relationship Id="rId57" Type="http://schemas.openxmlformats.org/officeDocument/2006/relationships/image" Target="../media/image58.jpeg"/><Relationship Id="rId106" Type="http://schemas.openxmlformats.org/officeDocument/2006/relationships/image" Target="../media/image107.png"/><Relationship Id="rId127" Type="http://schemas.openxmlformats.org/officeDocument/2006/relationships/image" Target="../media/image128.png"/><Relationship Id="rId10" Type="http://schemas.openxmlformats.org/officeDocument/2006/relationships/image" Target="../media/image11.jpeg"/><Relationship Id="rId31" Type="http://schemas.openxmlformats.org/officeDocument/2006/relationships/image" Target="../media/image32.jpeg"/><Relationship Id="rId52" Type="http://schemas.openxmlformats.org/officeDocument/2006/relationships/image" Target="../media/image53.jpeg"/><Relationship Id="rId73" Type="http://schemas.openxmlformats.org/officeDocument/2006/relationships/image" Target="../media/image74.jpeg"/><Relationship Id="rId78" Type="http://schemas.openxmlformats.org/officeDocument/2006/relationships/image" Target="../media/image79.jpeg"/><Relationship Id="rId94" Type="http://schemas.openxmlformats.org/officeDocument/2006/relationships/image" Target="../media/image95.png"/><Relationship Id="rId99" Type="http://schemas.openxmlformats.org/officeDocument/2006/relationships/image" Target="../media/image100.png"/><Relationship Id="rId101" Type="http://schemas.openxmlformats.org/officeDocument/2006/relationships/image" Target="../media/image102.png"/><Relationship Id="rId122" Type="http://schemas.openxmlformats.org/officeDocument/2006/relationships/image" Target="../media/image123.png"/><Relationship Id="rId143" Type="http://schemas.openxmlformats.org/officeDocument/2006/relationships/image" Target="../media/image144.png"/><Relationship Id="rId148" Type="http://schemas.openxmlformats.org/officeDocument/2006/relationships/image" Target="../media/image149.png"/><Relationship Id="rId164" Type="http://schemas.openxmlformats.org/officeDocument/2006/relationships/image" Target="../media/image165.pn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26" Type="http://schemas.openxmlformats.org/officeDocument/2006/relationships/image" Target="../media/image27.png"/><Relationship Id="rId47" Type="http://schemas.openxmlformats.org/officeDocument/2006/relationships/image" Target="../media/image48.jpeg"/><Relationship Id="rId68" Type="http://schemas.openxmlformats.org/officeDocument/2006/relationships/image" Target="../media/image69.png"/><Relationship Id="rId89" Type="http://schemas.openxmlformats.org/officeDocument/2006/relationships/image" Target="../media/image90.png"/><Relationship Id="rId112" Type="http://schemas.openxmlformats.org/officeDocument/2006/relationships/image" Target="../media/image113.png"/><Relationship Id="rId133" Type="http://schemas.openxmlformats.org/officeDocument/2006/relationships/image" Target="../media/image134.png"/><Relationship Id="rId154" Type="http://schemas.openxmlformats.org/officeDocument/2006/relationships/image" Target="../media/image155.png"/><Relationship Id="rId16" Type="http://schemas.openxmlformats.org/officeDocument/2006/relationships/image" Target="../media/image17.jpeg"/><Relationship Id="rId37" Type="http://schemas.openxmlformats.org/officeDocument/2006/relationships/image" Target="../media/image38.jpeg"/><Relationship Id="rId58" Type="http://schemas.openxmlformats.org/officeDocument/2006/relationships/image" Target="../media/image59.jpeg"/><Relationship Id="rId79" Type="http://schemas.openxmlformats.org/officeDocument/2006/relationships/image" Target="../media/image80.jpeg"/><Relationship Id="rId102" Type="http://schemas.openxmlformats.org/officeDocument/2006/relationships/image" Target="../media/image103.png"/><Relationship Id="rId123" Type="http://schemas.openxmlformats.org/officeDocument/2006/relationships/image" Target="../media/image124.png"/><Relationship Id="rId144" Type="http://schemas.openxmlformats.org/officeDocument/2006/relationships/image" Target="../media/image145.png"/><Relationship Id="rId90" Type="http://schemas.openxmlformats.org/officeDocument/2006/relationships/image" Target="../media/image91.png"/><Relationship Id="rId165" Type="http://schemas.openxmlformats.org/officeDocument/2006/relationships/image" Target="../media/image166.png"/><Relationship Id="rId27" Type="http://schemas.openxmlformats.org/officeDocument/2006/relationships/image" Target="../media/image28.png"/><Relationship Id="rId48" Type="http://schemas.openxmlformats.org/officeDocument/2006/relationships/image" Target="../media/image49.jpeg"/><Relationship Id="rId69" Type="http://schemas.openxmlformats.org/officeDocument/2006/relationships/image" Target="../media/image70.jpeg"/><Relationship Id="rId113" Type="http://schemas.openxmlformats.org/officeDocument/2006/relationships/image" Target="../media/image114.png"/><Relationship Id="rId134" Type="http://schemas.openxmlformats.org/officeDocument/2006/relationships/image" Target="../media/image135.png"/><Relationship Id="rId80" Type="http://schemas.openxmlformats.org/officeDocument/2006/relationships/image" Target="../media/image81.png"/><Relationship Id="rId155" Type="http://schemas.openxmlformats.org/officeDocument/2006/relationships/image" Target="../media/image156.png"/></Relationships>
</file>

<file path=xl/drawings/_rels/drawing3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27.png"/><Relationship Id="rId21" Type="http://schemas.openxmlformats.org/officeDocument/2006/relationships/image" Target="../media/image27.png"/><Relationship Id="rId42" Type="http://schemas.openxmlformats.org/officeDocument/2006/relationships/image" Target="../media/image48.jpeg"/><Relationship Id="rId63" Type="http://schemas.openxmlformats.org/officeDocument/2006/relationships/image" Target="../media/image69.png"/><Relationship Id="rId84" Type="http://schemas.openxmlformats.org/officeDocument/2006/relationships/image" Target="../media/image93.png"/><Relationship Id="rId138" Type="http://schemas.openxmlformats.org/officeDocument/2006/relationships/image" Target="../media/image148.png"/><Relationship Id="rId107" Type="http://schemas.openxmlformats.org/officeDocument/2006/relationships/image" Target="../media/image116.png"/><Relationship Id="rId11" Type="http://schemas.openxmlformats.org/officeDocument/2006/relationships/image" Target="../media/image17.jpeg"/><Relationship Id="rId32" Type="http://schemas.openxmlformats.org/officeDocument/2006/relationships/image" Target="../media/image38.jpeg"/><Relationship Id="rId53" Type="http://schemas.openxmlformats.org/officeDocument/2006/relationships/image" Target="../media/image59.jpeg"/><Relationship Id="rId74" Type="http://schemas.openxmlformats.org/officeDocument/2006/relationships/image" Target="../media/image82.png"/><Relationship Id="rId128" Type="http://schemas.openxmlformats.org/officeDocument/2006/relationships/image" Target="../media/image138.png"/><Relationship Id="rId149" Type="http://schemas.openxmlformats.org/officeDocument/2006/relationships/image" Target="../media/image160.png"/><Relationship Id="rId5" Type="http://schemas.openxmlformats.org/officeDocument/2006/relationships/image" Target="../media/image154.png"/><Relationship Id="rId95" Type="http://schemas.openxmlformats.org/officeDocument/2006/relationships/image" Target="../media/image104.png"/><Relationship Id="rId22" Type="http://schemas.openxmlformats.org/officeDocument/2006/relationships/image" Target="../media/image28.png"/><Relationship Id="rId27" Type="http://schemas.openxmlformats.org/officeDocument/2006/relationships/image" Target="../media/image33.jpeg"/><Relationship Id="rId43" Type="http://schemas.openxmlformats.org/officeDocument/2006/relationships/image" Target="../media/image49.jpeg"/><Relationship Id="rId48" Type="http://schemas.openxmlformats.org/officeDocument/2006/relationships/image" Target="../media/image54.jpeg"/><Relationship Id="rId64" Type="http://schemas.openxmlformats.org/officeDocument/2006/relationships/image" Target="../media/image70.jpeg"/><Relationship Id="rId69" Type="http://schemas.openxmlformats.org/officeDocument/2006/relationships/image" Target="../media/image75.png"/><Relationship Id="rId113" Type="http://schemas.openxmlformats.org/officeDocument/2006/relationships/image" Target="../media/image123.png"/><Relationship Id="rId118" Type="http://schemas.openxmlformats.org/officeDocument/2006/relationships/image" Target="../media/image128.png"/><Relationship Id="rId134" Type="http://schemas.openxmlformats.org/officeDocument/2006/relationships/image" Target="../media/image144.png"/><Relationship Id="rId139" Type="http://schemas.openxmlformats.org/officeDocument/2006/relationships/image" Target="../media/image149.png"/><Relationship Id="rId80" Type="http://schemas.openxmlformats.org/officeDocument/2006/relationships/image" Target="../media/image89.png"/><Relationship Id="rId85" Type="http://schemas.openxmlformats.org/officeDocument/2006/relationships/image" Target="../media/image94.png"/><Relationship Id="rId150" Type="http://schemas.openxmlformats.org/officeDocument/2006/relationships/image" Target="../media/image161.png"/><Relationship Id="rId12" Type="http://schemas.openxmlformats.org/officeDocument/2006/relationships/image" Target="../media/image18.jpeg"/><Relationship Id="rId17" Type="http://schemas.openxmlformats.org/officeDocument/2006/relationships/image" Target="../media/image23.jpeg"/><Relationship Id="rId33" Type="http://schemas.openxmlformats.org/officeDocument/2006/relationships/image" Target="../media/image39.jpeg"/><Relationship Id="rId38" Type="http://schemas.openxmlformats.org/officeDocument/2006/relationships/image" Target="../media/image44.jpeg"/><Relationship Id="rId59" Type="http://schemas.openxmlformats.org/officeDocument/2006/relationships/image" Target="../media/image65.jpeg"/><Relationship Id="rId103" Type="http://schemas.openxmlformats.org/officeDocument/2006/relationships/image" Target="../media/image112.png"/><Relationship Id="rId108" Type="http://schemas.openxmlformats.org/officeDocument/2006/relationships/image" Target="../media/image117.png"/><Relationship Id="rId124" Type="http://schemas.openxmlformats.org/officeDocument/2006/relationships/image" Target="../media/image134.png"/><Relationship Id="rId129" Type="http://schemas.openxmlformats.org/officeDocument/2006/relationships/image" Target="../media/image139.png"/><Relationship Id="rId54" Type="http://schemas.openxmlformats.org/officeDocument/2006/relationships/image" Target="../media/image60.jpeg"/><Relationship Id="rId70" Type="http://schemas.openxmlformats.org/officeDocument/2006/relationships/image" Target="../media/image76.png"/><Relationship Id="rId75" Type="http://schemas.openxmlformats.org/officeDocument/2006/relationships/image" Target="../media/image83.png"/><Relationship Id="rId91" Type="http://schemas.openxmlformats.org/officeDocument/2006/relationships/image" Target="../media/image100.png"/><Relationship Id="rId96" Type="http://schemas.openxmlformats.org/officeDocument/2006/relationships/image" Target="../media/image105.png"/><Relationship Id="rId140" Type="http://schemas.openxmlformats.org/officeDocument/2006/relationships/image" Target="../media/image150.png"/><Relationship Id="rId145" Type="http://schemas.openxmlformats.org/officeDocument/2006/relationships/image" Target="../media/image156.png"/><Relationship Id="rId1" Type="http://schemas.openxmlformats.org/officeDocument/2006/relationships/image" Target="../media/image9.jpeg"/><Relationship Id="rId6" Type="http://schemas.openxmlformats.org/officeDocument/2006/relationships/image" Target="../media/image162.png"/><Relationship Id="rId23" Type="http://schemas.openxmlformats.org/officeDocument/2006/relationships/image" Target="../media/image29.jpeg"/><Relationship Id="rId28" Type="http://schemas.openxmlformats.org/officeDocument/2006/relationships/image" Target="../media/image34.jpeg"/><Relationship Id="rId49" Type="http://schemas.openxmlformats.org/officeDocument/2006/relationships/image" Target="../media/image55.jpeg"/><Relationship Id="rId114" Type="http://schemas.openxmlformats.org/officeDocument/2006/relationships/image" Target="../media/image124.png"/><Relationship Id="rId119" Type="http://schemas.openxmlformats.org/officeDocument/2006/relationships/image" Target="../media/image129.png"/><Relationship Id="rId44" Type="http://schemas.openxmlformats.org/officeDocument/2006/relationships/image" Target="../media/image50.jpeg"/><Relationship Id="rId60" Type="http://schemas.openxmlformats.org/officeDocument/2006/relationships/image" Target="../media/image66.jpeg"/><Relationship Id="rId65" Type="http://schemas.openxmlformats.org/officeDocument/2006/relationships/image" Target="../media/image71.jpeg"/><Relationship Id="rId81" Type="http://schemas.openxmlformats.org/officeDocument/2006/relationships/image" Target="../media/image90.png"/><Relationship Id="rId86" Type="http://schemas.openxmlformats.org/officeDocument/2006/relationships/image" Target="../media/image95.png"/><Relationship Id="rId130" Type="http://schemas.openxmlformats.org/officeDocument/2006/relationships/image" Target="../media/image140.png"/><Relationship Id="rId135" Type="http://schemas.openxmlformats.org/officeDocument/2006/relationships/image" Target="../media/image145.png"/><Relationship Id="rId151" Type="http://schemas.openxmlformats.org/officeDocument/2006/relationships/image" Target="../media/image164.png"/><Relationship Id="rId13" Type="http://schemas.openxmlformats.org/officeDocument/2006/relationships/image" Target="../media/image19.jpeg"/><Relationship Id="rId18" Type="http://schemas.openxmlformats.org/officeDocument/2006/relationships/image" Target="../media/image24.jpeg"/><Relationship Id="rId39" Type="http://schemas.openxmlformats.org/officeDocument/2006/relationships/image" Target="../media/image45.jpeg"/><Relationship Id="rId109" Type="http://schemas.openxmlformats.org/officeDocument/2006/relationships/image" Target="../media/image118.png"/><Relationship Id="rId34" Type="http://schemas.openxmlformats.org/officeDocument/2006/relationships/image" Target="../media/image40.jpeg"/><Relationship Id="rId50" Type="http://schemas.openxmlformats.org/officeDocument/2006/relationships/image" Target="../media/image56.jpeg"/><Relationship Id="rId55" Type="http://schemas.openxmlformats.org/officeDocument/2006/relationships/image" Target="../media/image61.jpeg"/><Relationship Id="rId76" Type="http://schemas.openxmlformats.org/officeDocument/2006/relationships/image" Target="../media/image85.png"/><Relationship Id="rId97" Type="http://schemas.openxmlformats.org/officeDocument/2006/relationships/image" Target="../media/image106.png"/><Relationship Id="rId104" Type="http://schemas.openxmlformats.org/officeDocument/2006/relationships/image" Target="../media/image113.png"/><Relationship Id="rId120" Type="http://schemas.openxmlformats.org/officeDocument/2006/relationships/image" Target="../media/image130.png"/><Relationship Id="rId125" Type="http://schemas.openxmlformats.org/officeDocument/2006/relationships/image" Target="../media/image135.png"/><Relationship Id="rId141" Type="http://schemas.openxmlformats.org/officeDocument/2006/relationships/image" Target="../media/image151.png"/><Relationship Id="rId146" Type="http://schemas.openxmlformats.org/officeDocument/2006/relationships/image" Target="../media/image157.png"/><Relationship Id="rId7" Type="http://schemas.openxmlformats.org/officeDocument/2006/relationships/image" Target="../media/image11.jpeg"/><Relationship Id="rId71" Type="http://schemas.openxmlformats.org/officeDocument/2006/relationships/image" Target="../media/image77.png"/><Relationship Id="rId92" Type="http://schemas.openxmlformats.org/officeDocument/2006/relationships/image" Target="../media/image101.png"/><Relationship Id="rId2" Type="http://schemas.openxmlformats.org/officeDocument/2006/relationships/image" Target="../media/image8.jpeg"/><Relationship Id="rId29" Type="http://schemas.openxmlformats.org/officeDocument/2006/relationships/image" Target="../media/image35.jpeg"/><Relationship Id="rId24" Type="http://schemas.openxmlformats.org/officeDocument/2006/relationships/image" Target="../media/image30.jpeg"/><Relationship Id="rId40" Type="http://schemas.openxmlformats.org/officeDocument/2006/relationships/image" Target="../media/image46.jpeg"/><Relationship Id="rId45" Type="http://schemas.openxmlformats.org/officeDocument/2006/relationships/image" Target="../media/image51.jpeg"/><Relationship Id="rId66" Type="http://schemas.openxmlformats.org/officeDocument/2006/relationships/image" Target="../media/image72.jpeg"/><Relationship Id="rId87" Type="http://schemas.openxmlformats.org/officeDocument/2006/relationships/image" Target="../media/image96.png"/><Relationship Id="rId110" Type="http://schemas.openxmlformats.org/officeDocument/2006/relationships/image" Target="../media/image119.png"/><Relationship Id="rId115" Type="http://schemas.openxmlformats.org/officeDocument/2006/relationships/image" Target="../media/image125.png"/><Relationship Id="rId131" Type="http://schemas.openxmlformats.org/officeDocument/2006/relationships/image" Target="../media/image141.png"/><Relationship Id="rId136" Type="http://schemas.openxmlformats.org/officeDocument/2006/relationships/image" Target="../media/image146.png"/><Relationship Id="rId61" Type="http://schemas.openxmlformats.org/officeDocument/2006/relationships/image" Target="../media/image67.jpeg"/><Relationship Id="rId82" Type="http://schemas.openxmlformats.org/officeDocument/2006/relationships/image" Target="../media/image91.png"/><Relationship Id="rId152" Type="http://schemas.openxmlformats.org/officeDocument/2006/relationships/image" Target="../media/image165.png"/><Relationship Id="rId19" Type="http://schemas.openxmlformats.org/officeDocument/2006/relationships/image" Target="../media/image25.jpeg"/><Relationship Id="rId14" Type="http://schemas.openxmlformats.org/officeDocument/2006/relationships/image" Target="../media/image20.jpeg"/><Relationship Id="rId30" Type="http://schemas.openxmlformats.org/officeDocument/2006/relationships/image" Target="../media/image36.jpeg"/><Relationship Id="rId35" Type="http://schemas.openxmlformats.org/officeDocument/2006/relationships/image" Target="../media/image41.jpeg"/><Relationship Id="rId56" Type="http://schemas.openxmlformats.org/officeDocument/2006/relationships/image" Target="../media/image62.jpeg"/><Relationship Id="rId77" Type="http://schemas.openxmlformats.org/officeDocument/2006/relationships/image" Target="../media/image86.png"/><Relationship Id="rId100" Type="http://schemas.openxmlformats.org/officeDocument/2006/relationships/image" Target="../media/image109.png"/><Relationship Id="rId105" Type="http://schemas.openxmlformats.org/officeDocument/2006/relationships/image" Target="../media/image114.png"/><Relationship Id="rId126" Type="http://schemas.openxmlformats.org/officeDocument/2006/relationships/image" Target="../media/image136.png"/><Relationship Id="rId147" Type="http://schemas.openxmlformats.org/officeDocument/2006/relationships/image" Target="../media/image158.png"/><Relationship Id="rId8" Type="http://schemas.openxmlformats.org/officeDocument/2006/relationships/image" Target="../media/image12.jpeg"/><Relationship Id="rId51" Type="http://schemas.openxmlformats.org/officeDocument/2006/relationships/image" Target="../media/image57.jpeg"/><Relationship Id="rId72" Type="http://schemas.openxmlformats.org/officeDocument/2006/relationships/image" Target="../media/image78.jpeg"/><Relationship Id="rId93" Type="http://schemas.openxmlformats.org/officeDocument/2006/relationships/image" Target="../media/image102.png"/><Relationship Id="rId98" Type="http://schemas.openxmlformats.org/officeDocument/2006/relationships/image" Target="../media/image107.png"/><Relationship Id="rId121" Type="http://schemas.openxmlformats.org/officeDocument/2006/relationships/image" Target="../media/image131.png"/><Relationship Id="rId142" Type="http://schemas.openxmlformats.org/officeDocument/2006/relationships/image" Target="../media/image152.png"/><Relationship Id="rId3" Type="http://schemas.openxmlformats.org/officeDocument/2006/relationships/image" Target="../media/image84.png"/><Relationship Id="rId25" Type="http://schemas.openxmlformats.org/officeDocument/2006/relationships/image" Target="../media/image31.jpeg"/><Relationship Id="rId46" Type="http://schemas.openxmlformats.org/officeDocument/2006/relationships/image" Target="../media/image52.jpeg"/><Relationship Id="rId67" Type="http://schemas.openxmlformats.org/officeDocument/2006/relationships/image" Target="../media/image73.jpeg"/><Relationship Id="rId116" Type="http://schemas.openxmlformats.org/officeDocument/2006/relationships/image" Target="../media/image126.png"/><Relationship Id="rId137" Type="http://schemas.openxmlformats.org/officeDocument/2006/relationships/image" Target="../media/image147.png"/><Relationship Id="rId20" Type="http://schemas.openxmlformats.org/officeDocument/2006/relationships/image" Target="../media/image26.jpeg"/><Relationship Id="rId41" Type="http://schemas.openxmlformats.org/officeDocument/2006/relationships/image" Target="../media/image47.jpeg"/><Relationship Id="rId62" Type="http://schemas.openxmlformats.org/officeDocument/2006/relationships/image" Target="../media/image68.jpeg"/><Relationship Id="rId83" Type="http://schemas.openxmlformats.org/officeDocument/2006/relationships/image" Target="../media/image92.png"/><Relationship Id="rId88" Type="http://schemas.openxmlformats.org/officeDocument/2006/relationships/image" Target="../media/image97.png"/><Relationship Id="rId111" Type="http://schemas.openxmlformats.org/officeDocument/2006/relationships/image" Target="../media/image120.png"/><Relationship Id="rId132" Type="http://schemas.openxmlformats.org/officeDocument/2006/relationships/image" Target="../media/image142.png"/><Relationship Id="rId153" Type="http://schemas.openxmlformats.org/officeDocument/2006/relationships/image" Target="../media/image166.png"/><Relationship Id="rId15" Type="http://schemas.openxmlformats.org/officeDocument/2006/relationships/image" Target="../media/image21.jpeg"/><Relationship Id="rId36" Type="http://schemas.openxmlformats.org/officeDocument/2006/relationships/image" Target="../media/image42.jpeg"/><Relationship Id="rId57" Type="http://schemas.openxmlformats.org/officeDocument/2006/relationships/image" Target="../media/image63.jpeg"/><Relationship Id="rId106" Type="http://schemas.openxmlformats.org/officeDocument/2006/relationships/image" Target="../media/image115.png"/><Relationship Id="rId127" Type="http://schemas.openxmlformats.org/officeDocument/2006/relationships/image" Target="../media/image137.png"/><Relationship Id="rId10" Type="http://schemas.openxmlformats.org/officeDocument/2006/relationships/image" Target="../media/image14.jpeg"/><Relationship Id="rId31" Type="http://schemas.openxmlformats.org/officeDocument/2006/relationships/image" Target="../media/image37.jpeg"/><Relationship Id="rId52" Type="http://schemas.openxmlformats.org/officeDocument/2006/relationships/image" Target="../media/image58.jpeg"/><Relationship Id="rId73" Type="http://schemas.openxmlformats.org/officeDocument/2006/relationships/image" Target="../media/image81.png"/><Relationship Id="rId78" Type="http://schemas.openxmlformats.org/officeDocument/2006/relationships/image" Target="../media/image87.png"/><Relationship Id="rId94" Type="http://schemas.openxmlformats.org/officeDocument/2006/relationships/image" Target="../media/image103.png"/><Relationship Id="rId99" Type="http://schemas.openxmlformats.org/officeDocument/2006/relationships/image" Target="../media/image108.png"/><Relationship Id="rId101" Type="http://schemas.openxmlformats.org/officeDocument/2006/relationships/image" Target="../media/image110.png"/><Relationship Id="rId122" Type="http://schemas.openxmlformats.org/officeDocument/2006/relationships/image" Target="../media/image132.png"/><Relationship Id="rId143" Type="http://schemas.openxmlformats.org/officeDocument/2006/relationships/image" Target="../media/image153.png"/><Relationship Id="rId148" Type="http://schemas.openxmlformats.org/officeDocument/2006/relationships/image" Target="../media/image159.png"/><Relationship Id="rId4" Type="http://schemas.openxmlformats.org/officeDocument/2006/relationships/image" Target="../media/image121.png"/><Relationship Id="rId9" Type="http://schemas.openxmlformats.org/officeDocument/2006/relationships/image" Target="../media/image13.jpeg"/><Relationship Id="rId26" Type="http://schemas.openxmlformats.org/officeDocument/2006/relationships/image" Target="../media/image32.jpeg"/><Relationship Id="rId47" Type="http://schemas.openxmlformats.org/officeDocument/2006/relationships/image" Target="../media/image53.jpeg"/><Relationship Id="rId68" Type="http://schemas.openxmlformats.org/officeDocument/2006/relationships/image" Target="../media/image74.jpeg"/><Relationship Id="rId89" Type="http://schemas.openxmlformats.org/officeDocument/2006/relationships/image" Target="../media/image98.png"/><Relationship Id="rId112" Type="http://schemas.openxmlformats.org/officeDocument/2006/relationships/image" Target="../media/image122.png"/><Relationship Id="rId133" Type="http://schemas.openxmlformats.org/officeDocument/2006/relationships/image" Target="../media/image143.png"/><Relationship Id="rId154" Type="http://schemas.openxmlformats.org/officeDocument/2006/relationships/image" Target="../media/image167.png"/><Relationship Id="rId16" Type="http://schemas.openxmlformats.org/officeDocument/2006/relationships/image" Target="../media/image22.jpeg"/><Relationship Id="rId37" Type="http://schemas.openxmlformats.org/officeDocument/2006/relationships/image" Target="../media/image43.jpeg"/><Relationship Id="rId58" Type="http://schemas.openxmlformats.org/officeDocument/2006/relationships/image" Target="../media/image64.jpeg"/><Relationship Id="rId79" Type="http://schemas.openxmlformats.org/officeDocument/2006/relationships/image" Target="../media/image88.png"/><Relationship Id="rId102" Type="http://schemas.openxmlformats.org/officeDocument/2006/relationships/image" Target="../media/image111.png"/><Relationship Id="rId123" Type="http://schemas.openxmlformats.org/officeDocument/2006/relationships/image" Target="../media/image133.png"/><Relationship Id="rId144" Type="http://schemas.openxmlformats.org/officeDocument/2006/relationships/image" Target="../media/image155.png"/><Relationship Id="rId90" Type="http://schemas.openxmlformats.org/officeDocument/2006/relationships/image" Target="../media/image9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202320</xdr:colOff>
      <xdr:row>0</xdr:row>
      <xdr:rowOff>166680</xdr:rowOff>
    </xdr:from>
    <xdr:to>
      <xdr:col>2</xdr:col>
      <xdr:colOff>934200</xdr:colOff>
      <xdr:row>8</xdr:row>
      <xdr:rowOff>149400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655560" y="166680"/>
          <a:ext cx="2946960" cy="229716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122400</xdr:colOff>
      <xdr:row>2</xdr:row>
      <xdr:rowOff>120960</xdr:rowOff>
    </xdr:from>
    <xdr:to>
      <xdr:col>0</xdr:col>
      <xdr:colOff>3398760</xdr:colOff>
      <xdr:row>12</xdr:row>
      <xdr:rowOff>160200</xdr:rowOff>
    </xdr:to>
    <xdr:pic>
      <xdr:nvPicPr>
        <xdr:cNvPr id="2" name="image7.jp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122400" y="1663920"/>
          <a:ext cx="3276360" cy="1944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312840</xdr:colOff>
      <xdr:row>23</xdr:row>
      <xdr:rowOff>169920</xdr:rowOff>
    </xdr:from>
    <xdr:to>
      <xdr:col>0</xdr:col>
      <xdr:colOff>3167640</xdr:colOff>
      <xdr:row>36</xdr:row>
      <xdr:rowOff>81360</xdr:rowOff>
    </xdr:to>
    <xdr:pic>
      <xdr:nvPicPr>
        <xdr:cNvPr id="3" name="image4.jp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312840" y="5713560"/>
          <a:ext cx="2854800" cy="2321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171360</xdr:colOff>
      <xdr:row>13</xdr:row>
      <xdr:rowOff>120960</xdr:rowOff>
    </xdr:from>
    <xdr:to>
      <xdr:col>0</xdr:col>
      <xdr:colOff>3317040</xdr:colOff>
      <xdr:row>22</xdr:row>
      <xdr:rowOff>173520</xdr:rowOff>
    </xdr:to>
    <xdr:pic>
      <xdr:nvPicPr>
        <xdr:cNvPr id="4" name="image6.jp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171360" y="3759480"/>
          <a:ext cx="3145680" cy="1767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41</xdr:row>
      <xdr:rowOff>162000</xdr:rowOff>
    </xdr:from>
    <xdr:to>
      <xdr:col>0</xdr:col>
      <xdr:colOff>3426120</xdr:colOff>
      <xdr:row>49</xdr:row>
      <xdr:rowOff>25920</xdr:rowOff>
    </xdr:to>
    <xdr:pic>
      <xdr:nvPicPr>
        <xdr:cNvPr id="5" name="image1.jp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0" y="9239400"/>
          <a:ext cx="3426120" cy="1845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536040</xdr:colOff>
      <xdr:row>55</xdr:row>
      <xdr:rowOff>120960</xdr:rowOff>
    </xdr:from>
    <xdr:to>
      <xdr:col>0</xdr:col>
      <xdr:colOff>2650320</xdr:colOff>
      <xdr:row>60</xdr:row>
      <xdr:rowOff>27000</xdr:rowOff>
    </xdr:to>
    <xdr:pic>
      <xdr:nvPicPr>
        <xdr:cNvPr id="6" name="image3.jp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536040" y="12654720"/>
          <a:ext cx="2114280" cy="1144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23040</xdr:colOff>
      <xdr:row>64</xdr:row>
      <xdr:rowOff>99360</xdr:rowOff>
    </xdr:from>
    <xdr:to>
      <xdr:col>0</xdr:col>
      <xdr:colOff>3430080</xdr:colOff>
      <xdr:row>70</xdr:row>
      <xdr:rowOff>115560</xdr:rowOff>
    </xdr:to>
    <xdr:pic>
      <xdr:nvPicPr>
        <xdr:cNvPr id="7" name="image2.pn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23040" y="14851080"/>
          <a:ext cx="3407040" cy="1501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470880</xdr:colOff>
      <xdr:row>153</xdr:row>
      <xdr:rowOff>78480</xdr:rowOff>
    </xdr:from>
    <xdr:to>
      <xdr:col>8</xdr:col>
      <xdr:colOff>792000</xdr:colOff>
      <xdr:row>154</xdr:row>
      <xdr:rowOff>123480</xdr:rowOff>
    </xdr:to>
    <xdr:pic>
      <xdr:nvPicPr>
        <xdr:cNvPr id="8" name="image10.jp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295000" y="371829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5</xdr:col>
      <xdr:colOff>288360</xdr:colOff>
      <xdr:row>95</xdr:row>
      <xdr:rowOff>25560</xdr:rowOff>
    </xdr:from>
    <xdr:to>
      <xdr:col>6</xdr:col>
      <xdr:colOff>45720</xdr:colOff>
      <xdr:row>96</xdr:row>
      <xdr:rowOff>70200</xdr:rowOff>
    </xdr:to>
    <xdr:pic>
      <xdr:nvPicPr>
        <xdr:cNvPr id="9" name="image10.jp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9793800" y="225388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457200</xdr:colOff>
      <xdr:row>323</xdr:row>
      <xdr:rowOff>2160</xdr:rowOff>
    </xdr:from>
    <xdr:to>
      <xdr:col>8</xdr:col>
      <xdr:colOff>778320</xdr:colOff>
      <xdr:row>324</xdr:row>
      <xdr:rowOff>46800</xdr:rowOff>
    </xdr:to>
    <xdr:pic>
      <xdr:nvPicPr>
        <xdr:cNvPr id="10" name="image10.jp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281320" y="7945092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454320</xdr:colOff>
      <xdr:row>191</xdr:row>
      <xdr:rowOff>233640</xdr:rowOff>
    </xdr:from>
    <xdr:to>
      <xdr:col>8</xdr:col>
      <xdr:colOff>775440</xdr:colOff>
      <xdr:row>193</xdr:row>
      <xdr:rowOff>30600</xdr:rowOff>
    </xdr:to>
    <xdr:pic>
      <xdr:nvPicPr>
        <xdr:cNvPr id="11" name="image10.jp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278440" y="4681404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7</xdr:col>
      <xdr:colOff>394560</xdr:colOff>
      <xdr:row>236</xdr:row>
      <xdr:rowOff>228240</xdr:rowOff>
    </xdr:from>
    <xdr:to>
      <xdr:col>8</xdr:col>
      <xdr:colOff>120600</xdr:colOff>
      <xdr:row>238</xdr:row>
      <xdr:rowOff>21240</xdr:rowOff>
    </xdr:to>
    <xdr:pic>
      <xdr:nvPicPr>
        <xdr:cNvPr id="12" name="image10.jp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0654920" y="57943440"/>
          <a:ext cx="289800" cy="288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</xdr:col>
      <xdr:colOff>417600</xdr:colOff>
      <xdr:row>242</xdr:row>
      <xdr:rowOff>211680</xdr:rowOff>
    </xdr:from>
    <xdr:to>
      <xdr:col>5</xdr:col>
      <xdr:colOff>6871</xdr:colOff>
      <xdr:row>244</xdr:row>
      <xdr:rowOff>431</xdr:rowOff>
    </xdr:to>
    <xdr:pic>
      <xdr:nvPicPr>
        <xdr:cNvPr id="13" name="image10.jp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9178200" y="5941260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3389400</xdr:colOff>
      <xdr:row>244</xdr:row>
      <xdr:rowOff>207720</xdr:rowOff>
    </xdr:from>
    <xdr:to>
      <xdr:col>1</xdr:col>
      <xdr:colOff>3710520</xdr:colOff>
      <xdr:row>246</xdr:row>
      <xdr:rowOff>4680</xdr:rowOff>
    </xdr:to>
    <xdr:pic>
      <xdr:nvPicPr>
        <xdr:cNvPr id="14" name="image11.jp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7075080" y="5990400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470880</xdr:colOff>
      <xdr:row>274</xdr:row>
      <xdr:rowOff>105840</xdr:rowOff>
    </xdr:from>
    <xdr:to>
      <xdr:col>8</xdr:col>
      <xdr:colOff>792000</xdr:colOff>
      <xdr:row>275</xdr:row>
      <xdr:rowOff>141120</xdr:rowOff>
    </xdr:to>
    <xdr:pic>
      <xdr:nvPicPr>
        <xdr:cNvPr id="15" name="image12.jp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>
        <a:xfrm>
          <a:off x="11295000" y="6735420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108</xdr:row>
      <xdr:rowOff>138600</xdr:rowOff>
    </xdr:from>
    <xdr:to>
      <xdr:col>0</xdr:col>
      <xdr:colOff>3385440</xdr:colOff>
      <xdr:row>114</xdr:row>
      <xdr:rowOff>73080</xdr:rowOff>
    </xdr:to>
    <xdr:pic>
      <xdr:nvPicPr>
        <xdr:cNvPr id="16" name="image20.jp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>
        <a:xfrm>
          <a:off x="0" y="25993800"/>
          <a:ext cx="3385440" cy="1420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360</xdr:row>
      <xdr:rowOff>104040</xdr:rowOff>
    </xdr:from>
    <xdr:to>
      <xdr:col>0</xdr:col>
      <xdr:colOff>3407040</xdr:colOff>
      <xdr:row>368</xdr:row>
      <xdr:rowOff>6120</xdr:rowOff>
    </xdr:to>
    <xdr:pic>
      <xdr:nvPicPr>
        <xdr:cNvPr id="17" name="image24.jp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>
        <a:xfrm>
          <a:off x="38160" y="88963560"/>
          <a:ext cx="3368880" cy="1883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57240</xdr:colOff>
      <xdr:row>371</xdr:row>
      <xdr:rowOff>151920</xdr:rowOff>
    </xdr:from>
    <xdr:to>
      <xdr:col>0</xdr:col>
      <xdr:colOff>3378600</xdr:colOff>
      <xdr:row>379</xdr:row>
      <xdr:rowOff>25200</xdr:rowOff>
    </xdr:to>
    <xdr:pic>
      <xdr:nvPicPr>
        <xdr:cNvPr id="18" name="image27.jp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>
        <a:xfrm>
          <a:off x="57240" y="91887840"/>
          <a:ext cx="3321360" cy="1854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2940480</xdr:colOff>
      <xdr:row>373</xdr:row>
      <xdr:rowOff>223920</xdr:rowOff>
    </xdr:from>
    <xdr:to>
      <xdr:col>1</xdr:col>
      <xdr:colOff>3347280</xdr:colOff>
      <xdr:row>375</xdr:row>
      <xdr:rowOff>97200</xdr:rowOff>
    </xdr:to>
    <xdr:pic>
      <xdr:nvPicPr>
        <xdr:cNvPr id="19" name="image10.jp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6626160" y="92455200"/>
          <a:ext cx="406800" cy="368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76320</xdr:colOff>
      <xdr:row>224</xdr:row>
      <xdr:rowOff>54000</xdr:rowOff>
    </xdr:from>
    <xdr:to>
      <xdr:col>0</xdr:col>
      <xdr:colOff>3445200</xdr:colOff>
      <xdr:row>232</xdr:row>
      <xdr:rowOff>155880</xdr:rowOff>
    </xdr:to>
    <xdr:pic>
      <xdr:nvPicPr>
        <xdr:cNvPr id="20" name="image17.jp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>
        <a:xfrm>
          <a:off x="76320" y="54797400"/>
          <a:ext cx="3368880" cy="20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4</xdr:col>
      <xdr:colOff>92520</xdr:colOff>
      <xdr:row>97</xdr:row>
      <xdr:rowOff>66600</xdr:rowOff>
    </xdr:from>
    <xdr:to>
      <xdr:col>5</xdr:col>
      <xdr:colOff>232560</xdr:colOff>
      <xdr:row>98</xdr:row>
      <xdr:rowOff>111240</xdr:rowOff>
    </xdr:to>
    <xdr:pic>
      <xdr:nvPicPr>
        <xdr:cNvPr id="21" name="image10.jp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9416880" y="230752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76</xdr:row>
      <xdr:rowOff>99000</xdr:rowOff>
    </xdr:from>
    <xdr:to>
      <xdr:col>0</xdr:col>
      <xdr:colOff>3397680</xdr:colOff>
      <xdr:row>81</xdr:row>
      <xdr:rowOff>181800</xdr:rowOff>
    </xdr:to>
    <xdr:pic>
      <xdr:nvPicPr>
        <xdr:cNvPr id="22" name="image21.jp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>
        <a:xfrm>
          <a:off x="38160" y="17754480"/>
          <a:ext cx="3359520" cy="132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162000</xdr:colOff>
      <xdr:row>88</xdr:row>
      <xdr:rowOff>108360</xdr:rowOff>
    </xdr:from>
    <xdr:to>
      <xdr:col>0</xdr:col>
      <xdr:colOff>3321360</xdr:colOff>
      <xdr:row>94</xdr:row>
      <xdr:rowOff>720</xdr:rowOff>
    </xdr:to>
    <xdr:pic>
      <xdr:nvPicPr>
        <xdr:cNvPr id="23" name="image22.jp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162000" y="20888280"/>
          <a:ext cx="3159360" cy="1378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313</xdr:row>
      <xdr:rowOff>104040</xdr:rowOff>
    </xdr:from>
    <xdr:to>
      <xdr:col>0</xdr:col>
      <xdr:colOff>3435480</xdr:colOff>
      <xdr:row>317</xdr:row>
      <xdr:rowOff>91800</xdr:rowOff>
    </xdr:to>
    <xdr:pic>
      <xdr:nvPicPr>
        <xdr:cNvPr id="24" name="image23.jp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>
          <a:off x="9360" y="77076360"/>
          <a:ext cx="3426120" cy="978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177</xdr:row>
      <xdr:rowOff>138240</xdr:rowOff>
    </xdr:from>
    <xdr:to>
      <xdr:col>0</xdr:col>
      <xdr:colOff>3483195</xdr:colOff>
      <xdr:row>184</xdr:row>
      <xdr:rowOff>20880</xdr:rowOff>
    </xdr:to>
    <xdr:pic>
      <xdr:nvPicPr>
        <xdr:cNvPr id="25" name="image32.jp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>
        <a:xfrm>
          <a:off x="9360" y="43251480"/>
          <a:ext cx="3483360" cy="1616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262</xdr:row>
      <xdr:rowOff>48600</xdr:rowOff>
    </xdr:from>
    <xdr:to>
      <xdr:col>0</xdr:col>
      <xdr:colOff>3387960</xdr:colOff>
      <xdr:row>269</xdr:row>
      <xdr:rowOff>217080</xdr:rowOff>
    </xdr:to>
    <xdr:pic>
      <xdr:nvPicPr>
        <xdr:cNvPr id="26" name="image31.jp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/>
      </xdr:nvPicPr>
      <xdr:blipFill>
        <a:blip xmlns:r="http://schemas.openxmlformats.org/officeDocument/2006/relationships" r:embed="rId18"/>
        <a:stretch/>
      </xdr:blipFill>
      <xdr:spPr>
        <a:xfrm>
          <a:off x="9360" y="64325160"/>
          <a:ext cx="3378600" cy="1902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0</xdr:colOff>
      <xdr:row>246</xdr:row>
      <xdr:rowOff>214560</xdr:rowOff>
    </xdr:from>
    <xdr:to>
      <xdr:col>3</xdr:col>
      <xdr:colOff>129960</xdr:colOff>
      <xdr:row>247</xdr:row>
      <xdr:rowOff>192600</xdr:rowOff>
    </xdr:to>
    <xdr:pic>
      <xdr:nvPicPr>
        <xdr:cNvPr id="27" name="image11.jp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8569440" y="6040620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4476600</xdr:colOff>
      <xdr:row>80</xdr:row>
      <xdr:rowOff>46080</xdr:rowOff>
    </xdr:from>
    <xdr:to>
      <xdr:col>1</xdr:col>
      <xdr:colOff>4616745</xdr:colOff>
      <xdr:row>81</xdr:row>
      <xdr:rowOff>81360</xdr:rowOff>
    </xdr:to>
    <xdr:pic>
      <xdr:nvPicPr>
        <xdr:cNvPr id="28" name="image10.jp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8162280" y="1869228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3650760</xdr:colOff>
      <xdr:row>436</xdr:row>
      <xdr:rowOff>136440</xdr:rowOff>
    </xdr:from>
    <xdr:to>
      <xdr:col>1</xdr:col>
      <xdr:colOff>3971880</xdr:colOff>
      <xdr:row>437</xdr:row>
      <xdr:rowOff>172080</xdr:rowOff>
    </xdr:to>
    <xdr:pic>
      <xdr:nvPicPr>
        <xdr:cNvPr id="29" name="image10.jp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7336440" y="10818756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303480</xdr:colOff>
      <xdr:row>466</xdr:row>
      <xdr:rowOff>47880</xdr:rowOff>
    </xdr:from>
    <xdr:to>
      <xdr:col>8</xdr:col>
      <xdr:colOff>624600</xdr:colOff>
      <xdr:row>467</xdr:row>
      <xdr:rowOff>149760</xdr:rowOff>
    </xdr:to>
    <xdr:pic>
      <xdr:nvPicPr>
        <xdr:cNvPr id="30" name="image10.jp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27600" y="1145080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95400</xdr:colOff>
      <xdr:row>385</xdr:row>
      <xdr:rowOff>720</xdr:rowOff>
    </xdr:from>
    <xdr:to>
      <xdr:col>0</xdr:col>
      <xdr:colOff>3302280</xdr:colOff>
      <xdr:row>391</xdr:row>
      <xdr:rowOff>102600</xdr:rowOff>
    </xdr:to>
    <xdr:pic>
      <xdr:nvPicPr>
        <xdr:cNvPr id="31" name="image37.jp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/>
      </xdr:nvPicPr>
      <xdr:blipFill>
        <a:blip xmlns:r="http://schemas.openxmlformats.org/officeDocument/2006/relationships" r:embed="rId19"/>
        <a:stretch/>
      </xdr:blipFill>
      <xdr:spPr>
        <a:xfrm>
          <a:off x="95400" y="95326200"/>
          <a:ext cx="3206880" cy="158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454</xdr:row>
      <xdr:rowOff>68400</xdr:rowOff>
    </xdr:from>
    <xdr:to>
      <xdr:col>0</xdr:col>
      <xdr:colOff>3371760</xdr:colOff>
      <xdr:row>459</xdr:row>
      <xdr:rowOff>167760</xdr:rowOff>
    </xdr:to>
    <xdr:pic>
      <xdr:nvPicPr>
        <xdr:cNvPr id="32" name="image48.jp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/>
      </xdr:nvPicPr>
      <xdr:blipFill>
        <a:blip xmlns:r="http://schemas.openxmlformats.org/officeDocument/2006/relationships" r:embed="rId20"/>
        <a:stretch/>
      </xdr:blipFill>
      <xdr:spPr>
        <a:xfrm>
          <a:off x="0" y="112242600"/>
          <a:ext cx="3371760" cy="105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467</xdr:row>
      <xdr:rowOff>87480</xdr:rowOff>
    </xdr:from>
    <xdr:to>
      <xdr:col>0</xdr:col>
      <xdr:colOff>3330720</xdr:colOff>
      <xdr:row>475</xdr:row>
      <xdr:rowOff>181440</xdr:rowOff>
    </xdr:to>
    <xdr:pic>
      <xdr:nvPicPr>
        <xdr:cNvPr id="33" name="image55.jp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/>
      </xdr:nvPicPr>
      <xdr:blipFill>
        <a:blip xmlns:r="http://schemas.openxmlformats.org/officeDocument/2006/relationships" r:embed="rId21"/>
        <a:stretch/>
      </xdr:blipFill>
      <xdr:spPr>
        <a:xfrm>
          <a:off x="0" y="114738120"/>
          <a:ext cx="3330720" cy="161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32760</xdr:colOff>
      <xdr:row>500</xdr:row>
      <xdr:rowOff>296280</xdr:rowOff>
    </xdr:from>
    <xdr:to>
      <xdr:col>0</xdr:col>
      <xdr:colOff>3358080</xdr:colOff>
      <xdr:row>508</xdr:row>
      <xdr:rowOff>58320</xdr:rowOff>
    </xdr:to>
    <xdr:pic>
      <xdr:nvPicPr>
        <xdr:cNvPr id="34" name="image34.jp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/>
      </xdr:nvPicPr>
      <xdr:blipFill>
        <a:blip xmlns:r="http://schemas.openxmlformats.org/officeDocument/2006/relationships" r:embed="rId22"/>
        <a:stretch/>
      </xdr:blipFill>
      <xdr:spPr>
        <a:xfrm>
          <a:off x="32760" y="121562280"/>
          <a:ext cx="3325320" cy="1495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601920</xdr:colOff>
      <xdr:row>514</xdr:row>
      <xdr:rowOff>42120</xdr:rowOff>
    </xdr:from>
    <xdr:to>
      <xdr:col>0</xdr:col>
      <xdr:colOff>2456280</xdr:colOff>
      <xdr:row>522</xdr:row>
      <xdr:rowOff>82440</xdr:rowOff>
    </xdr:to>
    <xdr:pic>
      <xdr:nvPicPr>
        <xdr:cNvPr id="35" name="image46.jp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/>
      </xdr:nvPicPr>
      <xdr:blipFill>
        <a:blip xmlns:r="http://schemas.openxmlformats.org/officeDocument/2006/relationships" r:embed="rId23"/>
        <a:stretch/>
      </xdr:blipFill>
      <xdr:spPr>
        <a:xfrm>
          <a:off x="601920" y="124394040"/>
          <a:ext cx="1854360" cy="1564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414720</xdr:colOff>
      <xdr:row>526</xdr:row>
      <xdr:rowOff>89640</xdr:rowOff>
    </xdr:from>
    <xdr:to>
      <xdr:col>0</xdr:col>
      <xdr:colOff>2850480</xdr:colOff>
      <xdr:row>532</xdr:row>
      <xdr:rowOff>103680</xdr:rowOff>
    </xdr:to>
    <xdr:pic>
      <xdr:nvPicPr>
        <xdr:cNvPr id="36" name="image40.jp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/>
      </xdr:nvPicPr>
      <xdr:blipFill>
        <a:blip xmlns:r="http://schemas.openxmlformats.org/officeDocument/2006/relationships" r:embed="rId24"/>
        <a:stretch/>
      </xdr:blipFill>
      <xdr:spPr>
        <a:xfrm>
          <a:off x="414720" y="126937080"/>
          <a:ext cx="2435760" cy="115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401</xdr:row>
      <xdr:rowOff>57960</xdr:rowOff>
    </xdr:from>
    <xdr:to>
      <xdr:col>0</xdr:col>
      <xdr:colOff>3483450</xdr:colOff>
      <xdr:row>406</xdr:row>
      <xdr:rowOff>55080</xdr:rowOff>
    </xdr:to>
    <xdr:pic>
      <xdr:nvPicPr>
        <xdr:cNvPr id="37" name="image60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/>
      </xdr:nvPicPr>
      <xdr:blipFill>
        <a:blip xmlns:r="http://schemas.openxmlformats.org/officeDocument/2006/relationships" r:embed="rId25"/>
        <a:stretch/>
      </xdr:blipFill>
      <xdr:spPr>
        <a:xfrm>
          <a:off x="0" y="99441000"/>
          <a:ext cx="3540600" cy="1235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411</xdr:row>
      <xdr:rowOff>169200</xdr:rowOff>
    </xdr:from>
    <xdr:to>
      <xdr:col>0</xdr:col>
      <xdr:colOff>3444840</xdr:colOff>
      <xdr:row>418</xdr:row>
      <xdr:rowOff>109440</xdr:rowOff>
    </xdr:to>
    <xdr:pic>
      <xdr:nvPicPr>
        <xdr:cNvPr id="38" name="image50.pn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/>
      </xdr:nvPicPr>
      <xdr:blipFill>
        <a:blip xmlns:r="http://schemas.openxmlformats.org/officeDocument/2006/relationships" r:embed="rId26"/>
        <a:stretch/>
      </xdr:blipFill>
      <xdr:spPr>
        <a:xfrm>
          <a:off x="9360" y="102029040"/>
          <a:ext cx="3435480" cy="1673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719640</xdr:colOff>
      <xdr:row>422</xdr:row>
      <xdr:rowOff>156960</xdr:rowOff>
    </xdr:from>
    <xdr:to>
      <xdr:col>0</xdr:col>
      <xdr:colOff>2831400</xdr:colOff>
      <xdr:row>432</xdr:row>
      <xdr:rowOff>239760</xdr:rowOff>
    </xdr:to>
    <xdr:pic>
      <xdr:nvPicPr>
        <xdr:cNvPr id="39" name="image62.pn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/>
      </xdr:nvPicPr>
      <xdr:blipFill>
        <a:blip xmlns:r="http://schemas.openxmlformats.org/officeDocument/2006/relationships" r:embed="rId27"/>
        <a:stretch/>
      </xdr:blipFill>
      <xdr:spPr>
        <a:xfrm>
          <a:off x="719640" y="104740920"/>
          <a:ext cx="2111760" cy="255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579600</xdr:colOff>
      <xdr:row>536</xdr:row>
      <xdr:rowOff>138600</xdr:rowOff>
    </xdr:from>
    <xdr:to>
      <xdr:col>0</xdr:col>
      <xdr:colOff>3030840</xdr:colOff>
      <xdr:row>541</xdr:row>
      <xdr:rowOff>166320</xdr:rowOff>
    </xdr:to>
    <xdr:pic>
      <xdr:nvPicPr>
        <xdr:cNvPr id="40" name="image65.jp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/>
      </xdr:nvPicPr>
      <xdr:blipFill>
        <a:blip xmlns:r="http://schemas.openxmlformats.org/officeDocument/2006/relationships" r:embed="rId28"/>
        <a:stretch/>
      </xdr:blipFill>
      <xdr:spPr>
        <a:xfrm>
          <a:off x="579600" y="129070800"/>
          <a:ext cx="2451240" cy="980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943200</xdr:colOff>
      <xdr:row>542</xdr:row>
      <xdr:rowOff>169920</xdr:rowOff>
    </xdr:from>
    <xdr:to>
      <xdr:col>0</xdr:col>
      <xdr:colOff>2838600</xdr:colOff>
      <xdr:row>548</xdr:row>
      <xdr:rowOff>161640</xdr:rowOff>
    </xdr:to>
    <xdr:pic>
      <xdr:nvPicPr>
        <xdr:cNvPr id="41" name="image74.jp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/>
      </xdr:nvPicPr>
      <xdr:blipFill>
        <a:blip xmlns:r="http://schemas.openxmlformats.org/officeDocument/2006/relationships" r:embed="rId29"/>
        <a:stretch/>
      </xdr:blipFill>
      <xdr:spPr>
        <a:xfrm>
          <a:off x="943200" y="130245120"/>
          <a:ext cx="1895400" cy="1134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95400</xdr:colOff>
      <xdr:row>621</xdr:row>
      <xdr:rowOff>106560</xdr:rowOff>
    </xdr:from>
    <xdr:to>
      <xdr:col>0</xdr:col>
      <xdr:colOff>3407400</xdr:colOff>
      <xdr:row>625</xdr:row>
      <xdr:rowOff>103680</xdr:rowOff>
    </xdr:to>
    <xdr:pic>
      <xdr:nvPicPr>
        <xdr:cNvPr id="42" name="image78.jp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/>
      </xdr:nvPicPr>
      <xdr:blipFill>
        <a:blip xmlns:r="http://schemas.openxmlformats.org/officeDocument/2006/relationships" r:embed="rId30"/>
        <a:stretch/>
      </xdr:blipFill>
      <xdr:spPr>
        <a:xfrm>
          <a:off x="95400" y="145770480"/>
          <a:ext cx="3312000" cy="75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209520</xdr:colOff>
      <xdr:row>639</xdr:row>
      <xdr:rowOff>106560</xdr:rowOff>
    </xdr:from>
    <xdr:to>
      <xdr:col>0</xdr:col>
      <xdr:colOff>3264120</xdr:colOff>
      <xdr:row>644</xdr:row>
      <xdr:rowOff>160920</xdr:rowOff>
    </xdr:to>
    <xdr:pic>
      <xdr:nvPicPr>
        <xdr:cNvPr id="43" name="image76.jp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/>
      </xdr:nvPicPr>
      <xdr:blipFill>
        <a:blip xmlns:r="http://schemas.openxmlformats.org/officeDocument/2006/relationships" r:embed="rId31"/>
        <a:stretch/>
      </xdr:blipFill>
      <xdr:spPr>
        <a:xfrm>
          <a:off x="209520" y="149199480"/>
          <a:ext cx="3054600" cy="1006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138960</xdr:colOff>
      <xdr:row>655</xdr:row>
      <xdr:rowOff>74520</xdr:rowOff>
    </xdr:from>
    <xdr:to>
      <xdr:col>0</xdr:col>
      <xdr:colOff>1829880</xdr:colOff>
      <xdr:row>660</xdr:row>
      <xdr:rowOff>154080</xdr:rowOff>
    </xdr:to>
    <xdr:pic>
      <xdr:nvPicPr>
        <xdr:cNvPr id="44" name="image73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/>
      </xdr:nvPicPr>
      <xdr:blipFill>
        <a:blip xmlns:r="http://schemas.openxmlformats.org/officeDocument/2006/relationships" r:embed="rId32"/>
        <a:stretch/>
      </xdr:blipFill>
      <xdr:spPr>
        <a:xfrm>
          <a:off x="138960" y="152395200"/>
          <a:ext cx="1690920" cy="1032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1204200</xdr:colOff>
      <xdr:row>660</xdr:row>
      <xdr:rowOff>146880</xdr:rowOff>
    </xdr:from>
    <xdr:to>
      <xdr:col>0</xdr:col>
      <xdr:colOff>3187080</xdr:colOff>
      <xdr:row>666</xdr:row>
      <xdr:rowOff>190440</xdr:rowOff>
    </xdr:to>
    <xdr:pic>
      <xdr:nvPicPr>
        <xdr:cNvPr id="45" name="image71.jpg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/>
      </xdr:nvPicPr>
      <xdr:blipFill>
        <a:blip xmlns:r="http://schemas.openxmlformats.org/officeDocument/2006/relationships" r:embed="rId33"/>
        <a:stretch/>
      </xdr:blipFill>
      <xdr:spPr>
        <a:xfrm>
          <a:off x="1204200" y="153420120"/>
          <a:ext cx="1982880" cy="1186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66600</xdr:colOff>
      <xdr:row>573</xdr:row>
      <xdr:rowOff>360</xdr:rowOff>
    </xdr:from>
    <xdr:to>
      <xdr:col>0</xdr:col>
      <xdr:colOff>3416400</xdr:colOff>
      <xdr:row>577</xdr:row>
      <xdr:rowOff>188280</xdr:rowOff>
    </xdr:to>
    <xdr:pic>
      <xdr:nvPicPr>
        <xdr:cNvPr id="46" name="image79.jpg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>
        <a:xfrm>
          <a:off x="66600" y="136340640"/>
          <a:ext cx="3349800" cy="949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594</xdr:row>
      <xdr:rowOff>48600</xdr:rowOff>
    </xdr:from>
    <xdr:to>
      <xdr:col>0</xdr:col>
      <xdr:colOff>3483195</xdr:colOff>
      <xdr:row>602</xdr:row>
      <xdr:rowOff>45360</xdr:rowOff>
    </xdr:to>
    <xdr:pic>
      <xdr:nvPicPr>
        <xdr:cNvPr id="47" name="image81.jpg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/>
      </xdr:nvPicPr>
      <xdr:blipFill>
        <a:blip xmlns:r="http://schemas.openxmlformats.org/officeDocument/2006/relationships" r:embed="rId35"/>
        <a:stretch/>
      </xdr:blipFill>
      <xdr:spPr>
        <a:xfrm>
          <a:off x="0" y="140389200"/>
          <a:ext cx="3492720" cy="1521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266760</xdr:colOff>
      <xdr:row>588</xdr:row>
      <xdr:rowOff>183240</xdr:rowOff>
    </xdr:from>
    <xdr:to>
      <xdr:col>8</xdr:col>
      <xdr:colOff>587880</xdr:colOff>
      <xdr:row>590</xdr:row>
      <xdr:rowOff>84960</xdr:rowOff>
    </xdr:to>
    <xdr:pic>
      <xdr:nvPicPr>
        <xdr:cNvPr id="48" name="image10.jpg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090880" y="13938084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289800</xdr:colOff>
      <xdr:row>632</xdr:row>
      <xdr:rowOff>169200</xdr:rowOff>
    </xdr:from>
    <xdr:to>
      <xdr:col>8</xdr:col>
      <xdr:colOff>610920</xdr:colOff>
      <xdr:row>634</xdr:row>
      <xdr:rowOff>80640</xdr:rowOff>
    </xdr:to>
    <xdr:pic>
      <xdr:nvPicPr>
        <xdr:cNvPr id="49" name="image10.jpg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13920" y="1479286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324360</xdr:colOff>
      <xdr:row>559</xdr:row>
      <xdr:rowOff>188640</xdr:rowOff>
    </xdr:from>
    <xdr:to>
      <xdr:col>0</xdr:col>
      <xdr:colOff>3245040</xdr:colOff>
      <xdr:row>564</xdr:row>
      <xdr:rowOff>189720</xdr:rowOff>
    </xdr:to>
    <xdr:pic>
      <xdr:nvPicPr>
        <xdr:cNvPr id="50" name="image75.jpg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/>
      </xdr:nvPicPr>
      <xdr:blipFill>
        <a:blip xmlns:r="http://schemas.openxmlformats.org/officeDocument/2006/relationships" r:embed="rId36"/>
        <a:stretch/>
      </xdr:blipFill>
      <xdr:spPr>
        <a:xfrm>
          <a:off x="324360" y="133682040"/>
          <a:ext cx="2920680" cy="953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372240</xdr:colOff>
      <xdr:row>552</xdr:row>
      <xdr:rowOff>166680</xdr:rowOff>
    </xdr:from>
    <xdr:to>
      <xdr:col>0</xdr:col>
      <xdr:colOff>3256560</xdr:colOff>
      <xdr:row>558</xdr:row>
      <xdr:rowOff>136800</xdr:rowOff>
    </xdr:to>
    <xdr:pic>
      <xdr:nvPicPr>
        <xdr:cNvPr id="51" name="image72.jpg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/>
      </xdr:nvPicPr>
      <xdr:blipFill>
        <a:blip xmlns:r="http://schemas.openxmlformats.org/officeDocument/2006/relationships" r:embed="rId37"/>
        <a:stretch/>
      </xdr:blipFill>
      <xdr:spPr>
        <a:xfrm>
          <a:off x="372240" y="132326640"/>
          <a:ext cx="2884320" cy="1113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167400</xdr:colOff>
      <xdr:row>685</xdr:row>
      <xdr:rowOff>70920</xdr:rowOff>
    </xdr:from>
    <xdr:to>
      <xdr:col>0</xdr:col>
      <xdr:colOff>3345840</xdr:colOff>
      <xdr:row>695</xdr:row>
      <xdr:rowOff>77400</xdr:rowOff>
    </xdr:to>
    <xdr:pic>
      <xdr:nvPicPr>
        <xdr:cNvPr id="52" name="image91.jpg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/>
      </xdr:nvPicPr>
      <xdr:blipFill>
        <a:blip xmlns:r="http://schemas.openxmlformats.org/officeDocument/2006/relationships" r:embed="rId38"/>
        <a:stretch/>
      </xdr:blipFill>
      <xdr:spPr>
        <a:xfrm>
          <a:off x="167400" y="158286240"/>
          <a:ext cx="3178440" cy="1911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59760</xdr:colOff>
      <xdr:row>670</xdr:row>
      <xdr:rowOff>99720</xdr:rowOff>
    </xdr:from>
    <xdr:to>
      <xdr:col>0</xdr:col>
      <xdr:colOff>3428640</xdr:colOff>
      <xdr:row>678</xdr:row>
      <xdr:rowOff>11160</xdr:rowOff>
    </xdr:to>
    <xdr:pic>
      <xdr:nvPicPr>
        <xdr:cNvPr id="53" name="image95.jpg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>
        <a:xfrm>
          <a:off x="59760" y="155457720"/>
          <a:ext cx="3368880" cy="143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370800</xdr:colOff>
      <xdr:row>727</xdr:row>
      <xdr:rowOff>159480</xdr:rowOff>
    </xdr:from>
    <xdr:to>
      <xdr:col>0</xdr:col>
      <xdr:colOff>3116880</xdr:colOff>
      <xdr:row>735</xdr:row>
      <xdr:rowOff>41400</xdr:rowOff>
    </xdr:to>
    <xdr:pic>
      <xdr:nvPicPr>
        <xdr:cNvPr id="54" name="image83.jpg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/>
      </xdr:nvPicPr>
      <xdr:blipFill>
        <a:blip xmlns:r="http://schemas.openxmlformats.org/officeDocument/2006/relationships" r:embed="rId40"/>
        <a:stretch/>
      </xdr:blipFill>
      <xdr:spPr>
        <a:xfrm>
          <a:off x="370800" y="166555440"/>
          <a:ext cx="2746080" cy="1406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366480</xdr:colOff>
      <xdr:row>739</xdr:row>
      <xdr:rowOff>137880</xdr:rowOff>
    </xdr:from>
    <xdr:to>
      <xdr:col>0</xdr:col>
      <xdr:colOff>2920680</xdr:colOff>
      <xdr:row>745</xdr:row>
      <xdr:rowOff>147240</xdr:rowOff>
    </xdr:to>
    <xdr:pic>
      <xdr:nvPicPr>
        <xdr:cNvPr id="55" name="image84.jpg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/>
      </xdr:nvPicPr>
      <xdr:blipFill>
        <a:blip xmlns:r="http://schemas.openxmlformats.org/officeDocument/2006/relationships" r:embed="rId41"/>
        <a:stretch/>
      </xdr:blipFill>
      <xdr:spPr>
        <a:xfrm>
          <a:off x="366480" y="168999480"/>
          <a:ext cx="2554200" cy="1152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46440</xdr:colOff>
      <xdr:row>704</xdr:row>
      <xdr:rowOff>113400</xdr:rowOff>
    </xdr:from>
    <xdr:to>
      <xdr:col>0</xdr:col>
      <xdr:colOff>3405960</xdr:colOff>
      <xdr:row>712</xdr:row>
      <xdr:rowOff>24480</xdr:rowOff>
    </xdr:to>
    <xdr:pic>
      <xdr:nvPicPr>
        <xdr:cNvPr id="56" name="image95.jpg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>
        <a:xfrm>
          <a:off x="46440" y="161948160"/>
          <a:ext cx="3359520" cy="143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293760</xdr:colOff>
      <xdr:row>720</xdr:row>
      <xdr:rowOff>103680</xdr:rowOff>
    </xdr:from>
    <xdr:to>
      <xdr:col>8</xdr:col>
      <xdr:colOff>614880</xdr:colOff>
      <xdr:row>722</xdr:row>
      <xdr:rowOff>15120</xdr:rowOff>
    </xdr:to>
    <xdr:pic>
      <xdr:nvPicPr>
        <xdr:cNvPr id="57" name="image10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17880" y="1649865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209520</xdr:colOff>
      <xdr:row>751</xdr:row>
      <xdr:rowOff>17640</xdr:rowOff>
    </xdr:from>
    <xdr:to>
      <xdr:col>0</xdr:col>
      <xdr:colOff>3340440</xdr:colOff>
      <xdr:row>758</xdr:row>
      <xdr:rowOff>33840</xdr:rowOff>
    </xdr:to>
    <xdr:pic>
      <xdr:nvPicPr>
        <xdr:cNvPr id="58" name="image109.jpg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/>
      </xdr:nvPicPr>
      <xdr:blipFill>
        <a:blip xmlns:r="http://schemas.openxmlformats.org/officeDocument/2006/relationships" r:embed="rId42"/>
        <a:stretch/>
      </xdr:blipFill>
      <xdr:spPr>
        <a:xfrm>
          <a:off x="209520" y="171345240"/>
          <a:ext cx="3130920" cy="1349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188640</xdr:colOff>
      <xdr:row>766</xdr:row>
      <xdr:rowOff>77400</xdr:rowOff>
    </xdr:from>
    <xdr:to>
      <xdr:col>0</xdr:col>
      <xdr:colOff>3300480</xdr:colOff>
      <xdr:row>776</xdr:row>
      <xdr:rowOff>169560</xdr:rowOff>
    </xdr:to>
    <xdr:pic>
      <xdr:nvPicPr>
        <xdr:cNvPr id="59" name="image115.jpg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/>
      </xdr:nvPicPr>
      <xdr:blipFill>
        <a:blip xmlns:r="http://schemas.openxmlformats.org/officeDocument/2006/relationships" r:embed="rId43"/>
        <a:stretch/>
      </xdr:blipFill>
      <xdr:spPr>
        <a:xfrm>
          <a:off x="188640" y="174262320"/>
          <a:ext cx="3111840" cy="1997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63360</xdr:colOff>
      <xdr:row>797</xdr:row>
      <xdr:rowOff>149400</xdr:rowOff>
    </xdr:from>
    <xdr:to>
      <xdr:col>0</xdr:col>
      <xdr:colOff>3337920</xdr:colOff>
      <xdr:row>803</xdr:row>
      <xdr:rowOff>86760</xdr:rowOff>
    </xdr:to>
    <xdr:pic>
      <xdr:nvPicPr>
        <xdr:cNvPr id="60" name="image126.jpg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/>
      </xdr:nvPicPr>
      <xdr:blipFill>
        <a:blip xmlns:r="http://schemas.openxmlformats.org/officeDocument/2006/relationships" r:embed="rId44"/>
        <a:stretch/>
      </xdr:blipFill>
      <xdr:spPr>
        <a:xfrm>
          <a:off x="63360" y="180419400"/>
          <a:ext cx="3274560" cy="1080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703800</xdr:colOff>
      <xdr:row>808</xdr:row>
      <xdr:rowOff>40320</xdr:rowOff>
    </xdr:from>
    <xdr:to>
      <xdr:col>0</xdr:col>
      <xdr:colOff>2664720</xdr:colOff>
      <xdr:row>814</xdr:row>
      <xdr:rowOff>128520</xdr:rowOff>
    </xdr:to>
    <xdr:pic>
      <xdr:nvPicPr>
        <xdr:cNvPr id="61" name="image103.jpg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/>
      </xdr:nvPicPr>
      <xdr:blipFill>
        <a:blip xmlns:r="http://schemas.openxmlformats.org/officeDocument/2006/relationships" r:embed="rId45"/>
        <a:stretch/>
      </xdr:blipFill>
      <xdr:spPr>
        <a:xfrm>
          <a:off x="703800" y="182585520"/>
          <a:ext cx="1960920" cy="123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277560</xdr:colOff>
      <xdr:row>816</xdr:row>
      <xdr:rowOff>232560</xdr:rowOff>
    </xdr:from>
    <xdr:to>
      <xdr:col>0</xdr:col>
      <xdr:colOff>3208320</xdr:colOff>
      <xdr:row>821</xdr:row>
      <xdr:rowOff>79920</xdr:rowOff>
    </xdr:to>
    <xdr:pic>
      <xdr:nvPicPr>
        <xdr:cNvPr id="62" name="image106.jpg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/>
      </xdr:nvPicPr>
      <xdr:blipFill>
        <a:blip xmlns:r="http://schemas.openxmlformats.org/officeDocument/2006/relationships" r:embed="rId46"/>
        <a:stretch/>
      </xdr:blipFill>
      <xdr:spPr>
        <a:xfrm>
          <a:off x="277560" y="184302000"/>
          <a:ext cx="2930760" cy="979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786600</xdr:colOff>
      <xdr:row>821</xdr:row>
      <xdr:rowOff>77040</xdr:rowOff>
    </xdr:from>
    <xdr:to>
      <xdr:col>0</xdr:col>
      <xdr:colOff>2593440</xdr:colOff>
      <xdr:row>826</xdr:row>
      <xdr:rowOff>169200</xdr:rowOff>
    </xdr:to>
    <xdr:pic>
      <xdr:nvPicPr>
        <xdr:cNvPr id="63" name="image97.jpg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/>
      </xdr:nvPicPr>
      <xdr:blipFill>
        <a:blip xmlns:r="http://schemas.openxmlformats.org/officeDocument/2006/relationships" r:embed="rId47"/>
        <a:stretch/>
      </xdr:blipFill>
      <xdr:spPr>
        <a:xfrm>
          <a:off x="786600" y="185278680"/>
          <a:ext cx="1806840" cy="1044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27360</xdr:colOff>
      <xdr:row>847</xdr:row>
      <xdr:rowOff>99000</xdr:rowOff>
    </xdr:from>
    <xdr:to>
      <xdr:col>0</xdr:col>
      <xdr:colOff>3482115</xdr:colOff>
      <xdr:row>854</xdr:row>
      <xdr:rowOff>38520</xdr:rowOff>
    </xdr:to>
    <xdr:pic>
      <xdr:nvPicPr>
        <xdr:cNvPr id="64" name="image131.jpg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/>
      </xdr:nvPicPr>
      <xdr:blipFill>
        <a:blip xmlns:r="http://schemas.openxmlformats.org/officeDocument/2006/relationships" r:embed="rId48"/>
        <a:stretch/>
      </xdr:blipFill>
      <xdr:spPr>
        <a:xfrm>
          <a:off x="27360" y="190612800"/>
          <a:ext cx="3464280" cy="1273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872</xdr:row>
      <xdr:rowOff>83880</xdr:rowOff>
    </xdr:from>
    <xdr:to>
      <xdr:col>0</xdr:col>
      <xdr:colOff>3312000</xdr:colOff>
      <xdr:row>879</xdr:row>
      <xdr:rowOff>5040</xdr:rowOff>
    </xdr:to>
    <xdr:pic>
      <xdr:nvPicPr>
        <xdr:cNvPr id="65" name="image121.jpg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/>
      </xdr:nvPicPr>
      <xdr:blipFill>
        <a:blip xmlns:r="http://schemas.openxmlformats.org/officeDocument/2006/relationships" r:embed="rId49"/>
        <a:stretch/>
      </xdr:blipFill>
      <xdr:spPr>
        <a:xfrm>
          <a:off x="38160" y="195540120"/>
          <a:ext cx="3273840" cy="1254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231480</xdr:colOff>
      <xdr:row>829</xdr:row>
      <xdr:rowOff>359280</xdr:rowOff>
    </xdr:from>
    <xdr:to>
      <xdr:col>0</xdr:col>
      <xdr:colOff>3331080</xdr:colOff>
      <xdr:row>835</xdr:row>
      <xdr:rowOff>137160</xdr:rowOff>
    </xdr:to>
    <xdr:pic>
      <xdr:nvPicPr>
        <xdr:cNvPr id="66" name="image107.jpg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/>
      </xdr:nvPicPr>
      <xdr:blipFill>
        <a:blip xmlns:r="http://schemas.openxmlformats.org/officeDocument/2006/relationships" r:embed="rId50"/>
        <a:stretch/>
      </xdr:blipFill>
      <xdr:spPr>
        <a:xfrm>
          <a:off x="231480" y="187084800"/>
          <a:ext cx="3099600" cy="1100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905040</xdr:colOff>
      <xdr:row>836</xdr:row>
      <xdr:rowOff>35280</xdr:rowOff>
    </xdr:from>
    <xdr:to>
      <xdr:col>0</xdr:col>
      <xdr:colOff>2464200</xdr:colOff>
      <xdr:row>843</xdr:row>
      <xdr:rowOff>3600</xdr:rowOff>
    </xdr:to>
    <xdr:pic>
      <xdr:nvPicPr>
        <xdr:cNvPr id="67" name="image120.jpg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/>
      </xdr:nvPicPr>
      <xdr:blipFill>
        <a:blip xmlns:r="http://schemas.openxmlformats.org/officeDocument/2006/relationships" r:embed="rId51"/>
        <a:stretch/>
      </xdr:blipFill>
      <xdr:spPr>
        <a:xfrm>
          <a:off x="905040" y="188273880"/>
          <a:ext cx="1559160" cy="1302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882</xdr:row>
      <xdr:rowOff>93240</xdr:rowOff>
    </xdr:from>
    <xdr:to>
      <xdr:col>0</xdr:col>
      <xdr:colOff>3378600</xdr:colOff>
      <xdr:row>888</xdr:row>
      <xdr:rowOff>71280</xdr:rowOff>
    </xdr:to>
    <xdr:pic>
      <xdr:nvPicPr>
        <xdr:cNvPr id="68" name="image98.jpg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/>
      </xdr:nvPicPr>
      <xdr:blipFill>
        <a:blip xmlns:r="http://schemas.openxmlformats.org/officeDocument/2006/relationships" r:embed="rId52"/>
        <a:stretch/>
      </xdr:blipFill>
      <xdr:spPr>
        <a:xfrm>
          <a:off x="0" y="197634240"/>
          <a:ext cx="3378600" cy="1121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19080</xdr:colOff>
      <xdr:row>911</xdr:row>
      <xdr:rowOff>123120</xdr:rowOff>
    </xdr:from>
    <xdr:to>
      <xdr:col>0</xdr:col>
      <xdr:colOff>3416760</xdr:colOff>
      <xdr:row>917</xdr:row>
      <xdr:rowOff>72720</xdr:rowOff>
    </xdr:to>
    <xdr:pic>
      <xdr:nvPicPr>
        <xdr:cNvPr id="69" name="image105.jpg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/>
      </xdr:nvPicPr>
      <xdr:blipFill>
        <a:blip xmlns:r="http://schemas.openxmlformats.org/officeDocument/2006/relationships" r:embed="rId53"/>
        <a:stretch/>
      </xdr:blipFill>
      <xdr:spPr>
        <a:xfrm>
          <a:off x="19080" y="203368320"/>
          <a:ext cx="3397680" cy="1092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19080</xdr:colOff>
      <xdr:row>930</xdr:row>
      <xdr:rowOff>77040</xdr:rowOff>
    </xdr:from>
    <xdr:to>
      <xdr:col>0</xdr:col>
      <xdr:colOff>3483225</xdr:colOff>
      <xdr:row>935</xdr:row>
      <xdr:rowOff>16920</xdr:rowOff>
    </xdr:to>
    <xdr:pic>
      <xdr:nvPicPr>
        <xdr:cNvPr id="70" name="image100.jpg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/>
      </xdr:nvPicPr>
      <xdr:blipFill>
        <a:blip xmlns:r="http://schemas.openxmlformats.org/officeDocument/2006/relationships" r:embed="rId54"/>
        <a:stretch/>
      </xdr:blipFill>
      <xdr:spPr>
        <a:xfrm>
          <a:off x="19080" y="207121320"/>
          <a:ext cx="3492720" cy="892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1054</xdr:row>
      <xdr:rowOff>147240</xdr:rowOff>
    </xdr:from>
    <xdr:to>
      <xdr:col>0</xdr:col>
      <xdr:colOff>3454920</xdr:colOff>
      <xdr:row>1061</xdr:row>
      <xdr:rowOff>135000</xdr:rowOff>
    </xdr:to>
    <xdr:pic>
      <xdr:nvPicPr>
        <xdr:cNvPr id="71" name="image127.jpg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/>
      </xdr:nvPicPr>
      <xdr:blipFill>
        <a:blip xmlns:r="http://schemas.openxmlformats.org/officeDocument/2006/relationships" r:embed="rId55"/>
        <a:stretch/>
      </xdr:blipFill>
      <xdr:spPr>
        <a:xfrm>
          <a:off x="38160" y="231352560"/>
          <a:ext cx="3416760" cy="132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104760</xdr:colOff>
      <xdr:row>1072</xdr:row>
      <xdr:rowOff>90360</xdr:rowOff>
    </xdr:from>
    <xdr:to>
      <xdr:col>0</xdr:col>
      <xdr:colOff>3359520</xdr:colOff>
      <xdr:row>1081</xdr:row>
      <xdr:rowOff>39600</xdr:rowOff>
    </xdr:to>
    <xdr:pic>
      <xdr:nvPicPr>
        <xdr:cNvPr id="72" name="image113.jpg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/>
      </xdr:nvPicPr>
      <xdr:blipFill>
        <a:blip xmlns:r="http://schemas.openxmlformats.org/officeDocument/2006/relationships" r:embed="rId56"/>
        <a:stretch/>
      </xdr:blipFill>
      <xdr:spPr>
        <a:xfrm>
          <a:off x="104760" y="234724680"/>
          <a:ext cx="3254760" cy="1663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10800</xdr:colOff>
      <xdr:row>1090</xdr:row>
      <xdr:rowOff>9720</xdr:rowOff>
    </xdr:from>
    <xdr:to>
      <xdr:col>0</xdr:col>
      <xdr:colOff>3379680</xdr:colOff>
      <xdr:row>1095</xdr:row>
      <xdr:rowOff>73440</xdr:rowOff>
    </xdr:to>
    <xdr:pic>
      <xdr:nvPicPr>
        <xdr:cNvPr id="73" name="image122.jpg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/>
      </xdr:nvPicPr>
      <xdr:blipFill>
        <a:blip xmlns:r="http://schemas.openxmlformats.org/officeDocument/2006/relationships" r:embed="rId57"/>
        <a:stretch/>
      </xdr:blipFill>
      <xdr:spPr>
        <a:xfrm>
          <a:off x="10800" y="238252680"/>
          <a:ext cx="3368880" cy="1016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78840</xdr:colOff>
      <xdr:row>1098</xdr:row>
      <xdr:rowOff>87480</xdr:rowOff>
    </xdr:from>
    <xdr:to>
      <xdr:col>0</xdr:col>
      <xdr:colOff>3352680</xdr:colOff>
      <xdr:row>1111</xdr:row>
      <xdr:rowOff>180000</xdr:rowOff>
    </xdr:to>
    <xdr:pic>
      <xdr:nvPicPr>
        <xdr:cNvPr id="74" name="image117.jpg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/>
      </xdr:nvPicPr>
      <xdr:blipFill>
        <a:blip xmlns:r="http://schemas.openxmlformats.org/officeDocument/2006/relationships" r:embed="rId58"/>
        <a:stretch/>
      </xdr:blipFill>
      <xdr:spPr>
        <a:xfrm>
          <a:off x="78840" y="239854680"/>
          <a:ext cx="3273840" cy="2568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76320</xdr:colOff>
      <xdr:row>1136</xdr:row>
      <xdr:rowOff>144000</xdr:rowOff>
    </xdr:from>
    <xdr:to>
      <xdr:col>0</xdr:col>
      <xdr:colOff>3483390</xdr:colOff>
      <xdr:row>1143</xdr:row>
      <xdr:rowOff>74520</xdr:rowOff>
    </xdr:to>
    <xdr:pic>
      <xdr:nvPicPr>
        <xdr:cNvPr id="75" name="image129.jpg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/>
      </xdr:nvPicPr>
      <xdr:blipFill>
        <a:blip xmlns:r="http://schemas.openxmlformats.org/officeDocument/2006/relationships" r:embed="rId59"/>
        <a:stretch/>
      </xdr:blipFill>
      <xdr:spPr>
        <a:xfrm>
          <a:off x="76320" y="247449960"/>
          <a:ext cx="3426120" cy="1263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1158</xdr:row>
      <xdr:rowOff>163440</xdr:rowOff>
    </xdr:from>
    <xdr:to>
      <xdr:col>0</xdr:col>
      <xdr:colOff>3483420</xdr:colOff>
      <xdr:row>1169</xdr:row>
      <xdr:rowOff>65160</xdr:rowOff>
    </xdr:to>
    <xdr:pic>
      <xdr:nvPicPr>
        <xdr:cNvPr id="76" name="image132.jpg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/>
      </xdr:nvPicPr>
      <xdr:blipFill>
        <a:blip xmlns:r="http://schemas.openxmlformats.org/officeDocument/2006/relationships" r:embed="rId60"/>
        <a:stretch/>
      </xdr:blipFill>
      <xdr:spPr>
        <a:xfrm>
          <a:off x="38160" y="251660160"/>
          <a:ext cx="3483360" cy="1997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477720</xdr:colOff>
      <xdr:row>1181</xdr:row>
      <xdr:rowOff>128160</xdr:rowOff>
    </xdr:from>
    <xdr:to>
      <xdr:col>0</xdr:col>
      <xdr:colOff>2874240</xdr:colOff>
      <xdr:row>1188</xdr:row>
      <xdr:rowOff>173520</xdr:rowOff>
    </xdr:to>
    <xdr:pic>
      <xdr:nvPicPr>
        <xdr:cNvPr id="77" name="image125.jpg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/>
      </xdr:nvPicPr>
      <xdr:blipFill>
        <a:blip xmlns:r="http://schemas.openxmlformats.org/officeDocument/2006/relationships" r:embed="rId61"/>
        <a:stretch/>
      </xdr:blipFill>
      <xdr:spPr>
        <a:xfrm>
          <a:off x="477720" y="256186080"/>
          <a:ext cx="2396520" cy="1378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543960</xdr:colOff>
      <xdr:row>1188</xdr:row>
      <xdr:rowOff>180720</xdr:rowOff>
    </xdr:from>
    <xdr:to>
      <xdr:col>0</xdr:col>
      <xdr:colOff>2757960</xdr:colOff>
      <xdr:row>1195</xdr:row>
      <xdr:rowOff>81720</xdr:rowOff>
    </xdr:to>
    <xdr:pic>
      <xdr:nvPicPr>
        <xdr:cNvPr id="78" name="image146.jpg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/>
      </xdr:nvPicPr>
      <xdr:blipFill>
        <a:blip xmlns:r="http://schemas.openxmlformats.org/officeDocument/2006/relationships" r:embed="rId62"/>
        <a:stretch/>
      </xdr:blipFill>
      <xdr:spPr>
        <a:xfrm>
          <a:off x="543960" y="257572080"/>
          <a:ext cx="2214000" cy="1234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1710360</xdr:colOff>
      <xdr:row>1205</xdr:row>
      <xdr:rowOff>169920</xdr:rowOff>
    </xdr:from>
    <xdr:to>
      <xdr:col>0</xdr:col>
      <xdr:colOff>3440880</xdr:colOff>
      <xdr:row>1212</xdr:row>
      <xdr:rowOff>100080</xdr:rowOff>
    </xdr:to>
    <xdr:pic>
      <xdr:nvPicPr>
        <xdr:cNvPr id="79" name="image157.jpg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/>
      </xdr:nvPicPr>
      <xdr:blipFill>
        <a:blip xmlns:r="http://schemas.openxmlformats.org/officeDocument/2006/relationships" r:embed="rId63"/>
        <a:stretch/>
      </xdr:blipFill>
      <xdr:spPr>
        <a:xfrm>
          <a:off x="1710360" y="261009360"/>
          <a:ext cx="1730520" cy="1263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1205</xdr:row>
      <xdr:rowOff>140040</xdr:rowOff>
    </xdr:from>
    <xdr:to>
      <xdr:col>0</xdr:col>
      <xdr:colOff>1740240</xdr:colOff>
      <xdr:row>1212</xdr:row>
      <xdr:rowOff>32040</xdr:rowOff>
    </xdr:to>
    <xdr:pic>
      <xdr:nvPicPr>
        <xdr:cNvPr id="80" name="image145.jpg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/>
      </xdr:nvPicPr>
      <xdr:blipFill>
        <a:blip xmlns:r="http://schemas.openxmlformats.org/officeDocument/2006/relationships" r:embed="rId64"/>
        <a:stretch/>
      </xdr:blipFill>
      <xdr:spPr>
        <a:xfrm>
          <a:off x="0" y="260979480"/>
          <a:ext cx="1740240" cy="1225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92880</xdr:colOff>
      <xdr:row>1197</xdr:row>
      <xdr:rowOff>351000</xdr:rowOff>
    </xdr:from>
    <xdr:to>
      <xdr:col>0</xdr:col>
      <xdr:colOff>3395880</xdr:colOff>
      <xdr:row>1205</xdr:row>
      <xdr:rowOff>47520</xdr:rowOff>
    </xdr:to>
    <xdr:pic>
      <xdr:nvPicPr>
        <xdr:cNvPr id="81" name="image150.jpg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/>
      </xdr:nvPicPr>
      <xdr:blipFill>
        <a:blip xmlns:r="http://schemas.openxmlformats.org/officeDocument/2006/relationships" r:embed="rId65"/>
        <a:stretch/>
      </xdr:blipFill>
      <xdr:spPr>
        <a:xfrm>
          <a:off x="92880" y="259457040"/>
          <a:ext cx="3303000" cy="1429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1215</xdr:row>
      <xdr:rowOff>51480</xdr:rowOff>
    </xdr:from>
    <xdr:to>
      <xdr:col>0</xdr:col>
      <xdr:colOff>1711800</xdr:colOff>
      <xdr:row>1219</xdr:row>
      <xdr:rowOff>58680</xdr:rowOff>
    </xdr:to>
    <xdr:pic>
      <xdr:nvPicPr>
        <xdr:cNvPr id="82" name="image141.jpg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/>
      </xdr:nvPicPr>
      <xdr:blipFill>
        <a:blip xmlns:r="http://schemas.openxmlformats.org/officeDocument/2006/relationships" r:embed="rId66"/>
        <a:stretch/>
      </xdr:blipFill>
      <xdr:spPr>
        <a:xfrm>
          <a:off x="0" y="262975680"/>
          <a:ext cx="1711800" cy="769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348480</xdr:colOff>
      <xdr:row>1237</xdr:row>
      <xdr:rowOff>73080</xdr:rowOff>
    </xdr:from>
    <xdr:to>
      <xdr:col>0</xdr:col>
      <xdr:colOff>3201120</xdr:colOff>
      <xdr:row>1242</xdr:row>
      <xdr:rowOff>187920</xdr:rowOff>
    </xdr:to>
    <xdr:pic>
      <xdr:nvPicPr>
        <xdr:cNvPr id="83" name="image152.jpg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/>
      </xdr:nvPicPr>
      <xdr:blipFill>
        <a:blip xmlns:r="http://schemas.openxmlformats.org/officeDocument/2006/relationships" r:embed="rId67"/>
        <a:stretch/>
      </xdr:blipFill>
      <xdr:spPr>
        <a:xfrm>
          <a:off x="348480" y="267547680"/>
          <a:ext cx="2852640" cy="1067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563760</xdr:colOff>
      <xdr:row>1243</xdr:row>
      <xdr:rowOff>82080</xdr:rowOff>
    </xdr:from>
    <xdr:to>
      <xdr:col>0</xdr:col>
      <xdr:colOff>2961360</xdr:colOff>
      <xdr:row>1248</xdr:row>
      <xdr:rowOff>41040</xdr:rowOff>
    </xdr:to>
    <xdr:pic>
      <xdr:nvPicPr>
        <xdr:cNvPr id="84" name="image136.png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/>
      </xdr:nvPicPr>
      <xdr:blipFill>
        <a:blip xmlns:r="http://schemas.openxmlformats.org/officeDocument/2006/relationships" r:embed="rId68"/>
        <a:stretch/>
      </xdr:blipFill>
      <xdr:spPr>
        <a:xfrm>
          <a:off x="563760" y="268699680"/>
          <a:ext cx="2397600" cy="911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1632960</xdr:colOff>
      <xdr:row>1229</xdr:row>
      <xdr:rowOff>188280</xdr:rowOff>
    </xdr:from>
    <xdr:to>
      <xdr:col>0</xdr:col>
      <xdr:colOff>3276720</xdr:colOff>
      <xdr:row>1234</xdr:row>
      <xdr:rowOff>144360</xdr:rowOff>
    </xdr:to>
    <xdr:pic>
      <xdr:nvPicPr>
        <xdr:cNvPr id="85" name="image144.jpg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/>
      </xdr:nvPicPr>
      <xdr:blipFill>
        <a:blip xmlns:r="http://schemas.openxmlformats.org/officeDocument/2006/relationships" r:embed="rId69"/>
        <a:stretch/>
      </xdr:blipFill>
      <xdr:spPr>
        <a:xfrm>
          <a:off x="1632960" y="265959360"/>
          <a:ext cx="1643760" cy="908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86400</xdr:colOff>
      <xdr:row>1225</xdr:row>
      <xdr:rowOff>29880</xdr:rowOff>
    </xdr:from>
    <xdr:to>
      <xdr:col>0</xdr:col>
      <xdr:colOff>1929600</xdr:colOff>
      <xdr:row>1229</xdr:row>
      <xdr:rowOff>165600</xdr:rowOff>
    </xdr:to>
    <xdr:pic>
      <xdr:nvPicPr>
        <xdr:cNvPr id="86" name="image148.jpg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/>
      </xdr:nvPicPr>
      <xdr:blipFill>
        <a:blip xmlns:r="http://schemas.openxmlformats.org/officeDocument/2006/relationships" r:embed="rId70"/>
        <a:stretch/>
      </xdr:blipFill>
      <xdr:spPr>
        <a:xfrm>
          <a:off x="86400" y="265038840"/>
          <a:ext cx="1843200" cy="89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1260</xdr:row>
      <xdr:rowOff>98640</xdr:rowOff>
    </xdr:from>
    <xdr:to>
      <xdr:col>0</xdr:col>
      <xdr:colOff>1873440</xdr:colOff>
      <xdr:row>1268</xdr:row>
      <xdr:rowOff>19800</xdr:rowOff>
    </xdr:to>
    <xdr:pic>
      <xdr:nvPicPr>
        <xdr:cNvPr id="87" name="image134.jpg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/>
      </xdr:nvPicPr>
      <xdr:blipFill>
        <a:blip xmlns:r="http://schemas.openxmlformats.org/officeDocument/2006/relationships" r:embed="rId71"/>
        <a:stretch/>
      </xdr:blipFill>
      <xdr:spPr>
        <a:xfrm>
          <a:off x="0" y="272359440"/>
          <a:ext cx="1873440" cy="1445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2038320</xdr:colOff>
      <xdr:row>1262</xdr:row>
      <xdr:rowOff>22320</xdr:rowOff>
    </xdr:from>
    <xdr:to>
      <xdr:col>0</xdr:col>
      <xdr:colOff>3426120</xdr:colOff>
      <xdr:row>1269</xdr:row>
      <xdr:rowOff>57600</xdr:rowOff>
    </xdr:to>
    <xdr:pic>
      <xdr:nvPicPr>
        <xdr:cNvPr id="88" name="image149.jpg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/>
      </xdr:nvPicPr>
      <xdr:blipFill>
        <a:blip xmlns:r="http://schemas.openxmlformats.org/officeDocument/2006/relationships" r:embed="rId72"/>
        <a:stretch/>
      </xdr:blipFill>
      <xdr:spPr>
        <a:xfrm>
          <a:off x="2038320" y="272664000"/>
          <a:ext cx="1387800" cy="1368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798840</xdr:colOff>
      <xdr:row>1282</xdr:row>
      <xdr:rowOff>50400</xdr:rowOff>
    </xdr:from>
    <xdr:to>
      <xdr:col>0</xdr:col>
      <xdr:colOff>2340360</xdr:colOff>
      <xdr:row>1288</xdr:row>
      <xdr:rowOff>123480</xdr:rowOff>
    </xdr:to>
    <xdr:pic>
      <xdr:nvPicPr>
        <xdr:cNvPr id="89" name="image155.jpg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/>
      </xdr:nvPicPr>
      <xdr:blipFill>
        <a:blip xmlns:r="http://schemas.openxmlformats.org/officeDocument/2006/relationships" r:embed="rId73"/>
        <a:stretch/>
      </xdr:blipFill>
      <xdr:spPr>
        <a:xfrm>
          <a:off x="798840" y="276861600"/>
          <a:ext cx="1541520" cy="1216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960</xdr:row>
      <xdr:rowOff>20880</xdr:rowOff>
    </xdr:from>
    <xdr:to>
      <xdr:col>0</xdr:col>
      <xdr:colOff>3483120</xdr:colOff>
      <xdr:row>968</xdr:row>
      <xdr:rowOff>179640</xdr:rowOff>
    </xdr:to>
    <xdr:pic>
      <xdr:nvPicPr>
        <xdr:cNvPr id="90" name="image142.pn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/>
      </xdr:nvPicPr>
      <xdr:blipFill>
        <a:blip xmlns:r="http://schemas.openxmlformats.org/officeDocument/2006/relationships" r:embed="rId74"/>
        <a:stretch/>
      </xdr:blipFill>
      <xdr:spPr>
        <a:xfrm>
          <a:off x="0" y="212959800"/>
          <a:ext cx="3559320" cy="1683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781</xdr:row>
      <xdr:rowOff>66240</xdr:rowOff>
    </xdr:from>
    <xdr:to>
      <xdr:col>0</xdr:col>
      <xdr:colOff>3349800</xdr:colOff>
      <xdr:row>790</xdr:row>
      <xdr:rowOff>111240</xdr:rowOff>
    </xdr:to>
    <xdr:pic>
      <xdr:nvPicPr>
        <xdr:cNvPr id="91" name="image159.pn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/>
      </xdr:nvPicPr>
      <xdr:blipFill>
        <a:blip xmlns:r="http://schemas.openxmlformats.org/officeDocument/2006/relationships" r:embed="rId75"/>
        <a:stretch/>
      </xdr:blipFill>
      <xdr:spPr>
        <a:xfrm>
          <a:off x="0" y="177108840"/>
          <a:ext cx="3349800" cy="1759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312840</xdr:colOff>
      <xdr:row>1022</xdr:row>
      <xdr:rowOff>5760</xdr:rowOff>
    </xdr:from>
    <xdr:to>
      <xdr:col>8</xdr:col>
      <xdr:colOff>633960</xdr:colOff>
      <xdr:row>1023</xdr:row>
      <xdr:rowOff>107640</xdr:rowOff>
    </xdr:to>
    <xdr:pic>
      <xdr:nvPicPr>
        <xdr:cNvPr id="92" name="image10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36960" y="2249355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971</xdr:row>
      <xdr:rowOff>182880</xdr:rowOff>
    </xdr:from>
    <xdr:to>
      <xdr:col>0</xdr:col>
      <xdr:colOff>3483150</xdr:colOff>
      <xdr:row>979</xdr:row>
      <xdr:rowOff>142200</xdr:rowOff>
    </xdr:to>
    <xdr:pic>
      <xdr:nvPicPr>
        <xdr:cNvPr id="93" name="image143.pn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/>
      </xdr:nvPicPr>
      <xdr:blipFill>
        <a:blip xmlns:r="http://schemas.openxmlformats.org/officeDocument/2006/relationships" r:embed="rId76"/>
        <a:stretch/>
      </xdr:blipFill>
      <xdr:spPr>
        <a:xfrm>
          <a:off x="0" y="215217360"/>
          <a:ext cx="3578400" cy="1483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1472040</xdr:colOff>
      <xdr:row>1219</xdr:row>
      <xdr:rowOff>27000</xdr:rowOff>
    </xdr:from>
    <xdr:to>
      <xdr:col>0</xdr:col>
      <xdr:colOff>3222000</xdr:colOff>
      <xdr:row>1222</xdr:row>
      <xdr:rowOff>133560</xdr:rowOff>
    </xdr:to>
    <xdr:pic>
      <xdr:nvPicPr>
        <xdr:cNvPr id="94" name="image158.jpg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/>
      </xdr:nvPicPr>
      <xdr:blipFill>
        <a:blip xmlns:r="http://schemas.openxmlformats.org/officeDocument/2006/relationships" r:embed="rId77"/>
        <a:stretch/>
      </xdr:blipFill>
      <xdr:spPr>
        <a:xfrm>
          <a:off x="1472040" y="263713320"/>
          <a:ext cx="1749960" cy="677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2394720</xdr:colOff>
      <xdr:row>0</xdr:row>
      <xdr:rowOff>27360</xdr:rowOff>
    </xdr:from>
    <xdr:to>
      <xdr:col>6</xdr:col>
      <xdr:colOff>178755</xdr:colOff>
      <xdr:row>0</xdr:row>
      <xdr:rowOff>1131480</xdr:rowOff>
    </xdr:to>
    <xdr:pic>
      <xdr:nvPicPr>
        <xdr:cNvPr id="95" name="Imagem 286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/>
      </xdr:nvPicPr>
      <xdr:blipFill>
        <a:blip xmlns:r="http://schemas.openxmlformats.org/officeDocument/2006/relationships" r:embed="rId78"/>
        <a:stretch/>
      </xdr:blipFill>
      <xdr:spPr>
        <a:xfrm>
          <a:off x="6080400" y="27360"/>
          <a:ext cx="4177080" cy="1104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334800</xdr:colOff>
      <xdr:row>417</xdr:row>
      <xdr:rowOff>160200</xdr:rowOff>
    </xdr:from>
    <xdr:to>
      <xdr:col>8</xdr:col>
      <xdr:colOff>655920</xdr:colOff>
      <xdr:row>418</xdr:row>
      <xdr:rowOff>204840</xdr:rowOff>
    </xdr:to>
    <xdr:pic>
      <xdr:nvPicPr>
        <xdr:cNvPr id="96" name="image10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58920" y="1035057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311760</xdr:colOff>
      <xdr:row>1066</xdr:row>
      <xdr:rowOff>80640</xdr:rowOff>
    </xdr:from>
    <xdr:to>
      <xdr:col>8</xdr:col>
      <xdr:colOff>632880</xdr:colOff>
      <xdr:row>1067</xdr:row>
      <xdr:rowOff>182520</xdr:rowOff>
    </xdr:to>
    <xdr:pic>
      <xdr:nvPicPr>
        <xdr:cNvPr id="97" name="image10.jpg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35880" y="2335719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12</xdr:col>
      <xdr:colOff>149760</xdr:colOff>
      <xdr:row>0</xdr:row>
      <xdr:rowOff>0</xdr:rowOff>
    </xdr:from>
    <xdr:to>
      <xdr:col>15</xdr:col>
      <xdr:colOff>707400</xdr:colOff>
      <xdr:row>0</xdr:row>
      <xdr:rowOff>1094400</xdr:rowOff>
    </xdr:to>
    <xdr:pic>
      <xdr:nvPicPr>
        <xdr:cNvPr id="98" name="Imagem 370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/>
      </xdr:nvPicPr>
      <xdr:blipFill>
        <a:blip xmlns:r="http://schemas.openxmlformats.org/officeDocument/2006/relationships" r:embed="rId79"/>
        <a:stretch/>
      </xdr:blipFill>
      <xdr:spPr>
        <a:xfrm>
          <a:off x="15314760" y="0"/>
          <a:ext cx="3971520" cy="1094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40680</xdr:colOff>
      <xdr:row>1005</xdr:row>
      <xdr:rowOff>160920</xdr:rowOff>
    </xdr:from>
    <xdr:to>
      <xdr:col>0</xdr:col>
      <xdr:colOff>3398760</xdr:colOff>
      <xdr:row>1014</xdr:row>
      <xdr:rowOff>36000</xdr:rowOff>
    </xdr:to>
    <xdr:pic>
      <xdr:nvPicPr>
        <xdr:cNvPr id="99" name="Imagem 7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/>
      </xdr:nvPicPr>
      <xdr:blipFill>
        <a:blip xmlns:r="http://schemas.openxmlformats.org/officeDocument/2006/relationships" r:embed="rId80"/>
        <a:stretch/>
      </xdr:blipFill>
      <xdr:spPr>
        <a:xfrm>
          <a:off x="40680" y="221852160"/>
          <a:ext cx="3358080" cy="1589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68040</xdr:colOff>
      <xdr:row>1026</xdr:row>
      <xdr:rowOff>188280</xdr:rowOff>
    </xdr:from>
    <xdr:to>
      <xdr:col>0</xdr:col>
      <xdr:colOff>3249360</xdr:colOff>
      <xdr:row>1035</xdr:row>
      <xdr:rowOff>152280</xdr:rowOff>
    </xdr:to>
    <xdr:pic>
      <xdr:nvPicPr>
        <xdr:cNvPr id="100" name="Imagem 13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/>
      </xdr:nvPicPr>
      <xdr:blipFill>
        <a:blip xmlns:r="http://schemas.openxmlformats.org/officeDocument/2006/relationships" r:embed="rId81"/>
        <a:stretch/>
      </xdr:blipFill>
      <xdr:spPr>
        <a:xfrm>
          <a:off x="68040" y="225879840"/>
          <a:ext cx="3181320" cy="1678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1273</xdr:row>
      <xdr:rowOff>104040</xdr:rowOff>
    </xdr:from>
    <xdr:to>
      <xdr:col>0</xdr:col>
      <xdr:colOff>1031400</xdr:colOff>
      <xdr:row>1280</xdr:row>
      <xdr:rowOff>80640</xdr:rowOff>
    </xdr:to>
    <xdr:pic>
      <xdr:nvPicPr>
        <xdr:cNvPr id="101" name="Imagem 14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0" y="275020920"/>
          <a:ext cx="1031400" cy="1310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421920</xdr:colOff>
      <xdr:row>1272</xdr:row>
      <xdr:rowOff>147240</xdr:rowOff>
    </xdr:from>
    <xdr:to>
      <xdr:col>1</xdr:col>
      <xdr:colOff>6120</xdr:colOff>
      <xdr:row>1283</xdr:row>
      <xdr:rowOff>4680</xdr:rowOff>
    </xdr:to>
    <xdr:pic>
      <xdr:nvPicPr>
        <xdr:cNvPr id="102" name="Imagem 15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/>
      </xdr:nvPicPr>
      <xdr:blipFill>
        <a:blip xmlns:r="http://schemas.openxmlformats.org/officeDocument/2006/relationships" r:embed="rId83"/>
        <a:stretch/>
      </xdr:blipFill>
      <xdr:spPr>
        <a:xfrm>
          <a:off x="421920" y="274694040"/>
          <a:ext cx="3269880" cy="2312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141</xdr:row>
      <xdr:rowOff>173520</xdr:rowOff>
    </xdr:from>
    <xdr:to>
      <xdr:col>0</xdr:col>
      <xdr:colOff>3439080</xdr:colOff>
      <xdr:row>148</xdr:row>
      <xdr:rowOff>9360</xdr:rowOff>
    </xdr:to>
    <xdr:pic>
      <xdr:nvPicPr>
        <xdr:cNvPr id="103" name="Imagem 17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/>
      </xdr:nvPicPr>
      <xdr:blipFill>
        <a:blip xmlns:r="http://schemas.openxmlformats.org/officeDocument/2006/relationships" r:embed="rId84"/>
        <a:stretch/>
      </xdr:blipFill>
      <xdr:spPr>
        <a:xfrm>
          <a:off x="0" y="34306200"/>
          <a:ext cx="3439080" cy="156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68040</xdr:colOff>
      <xdr:row>155</xdr:row>
      <xdr:rowOff>160200</xdr:rowOff>
    </xdr:from>
    <xdr:to>
      <xdr:col>0</xdr:col>
      <xdr:colOff>3412080</xdr:colOff>
      <xdr:row>162</xdr:row>
      <xdr:rowOff>81000</xdr:rowOff>
    </xdr:to>
    <xdr:pic>
      <xdr:nvPicPr>
        <xdr:cNvPr id="104" name="Imagem 20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/>
      </xdr:nvPicPr>
      <xdr:blipFill>
        <a:blip xmlns:r="http://schemas.openxmlformats.org/officeDocument/2006/relationships" r:embed="rId85"/>
        <a:stretch/>
      </xdr:blipFill>
      <xdr:spPr>
        <a:xfrm>
          <a:off x="68040" y="37759680"/>
          <a:ext cx="3344040" cy="1654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351</xdr:row>
      <xdr:rowOff>12960</xdr:rowOff>
    </xdr:from>
    <xdr:to>
      <xdr:col>0</xdr:col>
      <xdr:colOff>1620360</xdr:colOff>
      <xdr:row>356</xdr:row>
      <xdr:rowOff>29880</xdr:rowOff>
    </xdr:to>
    <xdr:pic>
      <xdr:nvPicPr>
        <xdr:cNvPr id="105" name="Imagem 22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/>
      </xdr:nvPicPr>
      <xdr:blipFill>
        <a:blip xmlns:r="http://schemas.openxmlformats.org/officeDocument/2006/relationships" r:embed="rId86"/>
        <a:stretch/>
      </xdr:blipFill>
      <xdr:spPr>
        <a:xfrm>
          <a:off x="0" y="86491080"/>
          <a:ext cx="1620360" cy="125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1604520</xdr:colOff>
      <xdr:row>352</xdr:row>
      <xdr:rowOff>33840</xdr:rowOff>
    </xdr:from>
    <xdr:to>
      <xdr:col>0</xdr:col>
      <xdr:colOff>3010680</xdr:colOff>
      <xdr:row>356</xdr:row>
      <xdr:rowOff>128160</xdr:rowOff>
    </xdr:to>
    <xdr:pic>
      <xdr:nvPicPr>
        <xdr:cNvPr id="106" name="Imagem 23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/>
      </xdr:nvPicPr>
      <xdr:blipFill>
        <a:blip xmlns:r="http://schemas.openxmlformats.org/officeDocument/2006/relationships" r:embed="rId87"/>
        <a:stretch/>
      </xdr:blipFill>
      <xdr:spPr>
        <a:xfrm>
          <a:off x="1604520" y="86759640"/>
          <a:ext cx="1406160" cy="1085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54360</xdr:colOff>
      <xdr:row>1290</xdr:row>
      <xdr:rowOff>153720</xdr:rowOff>
    </xdr:from>
    <xdr:to>
      <xdr:col>0</xdr:col>
      <xdr:colOff>3328200</xdr:colOff>
      <xdr:row>1297</xdr:row>
      <xdr:rowOff>65880</xdr:rowOff>
    </xdr:to>
    <xdr:pic>
      <xdr:nvPicPr>
        <xdr:cNvPr id="107" name="Imagem 199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/>
      </xdr:nvPicPr>
      <xdr:blipFill>
        <a:blip xmlns:r="http://schemas.openxmlformats.org/officeDocument/2006/relationships" r:embed="rId88"/>
        <a:stretch/>
      </xdr:blipFill>
      <xdr:spPr>
        <a:xfrm rot="21418200">
          <a:off x="54360" y="278668440"/>
          <a:ext cx="3273840" cy="1245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1452240</xdr:colOff>
      <xdr:row>1299</xdr:row>
      <xdr:rowOff>42120</xdr:rowOff>
    </xdr:from>
    <xdr:to>
      <xdr:col>0</xdr:col>
      <xdr:colOff>3308760</xdr:colOff>
      <xdr:row>1305</xdr:row>
      <xdr:rowOff>54360</xdr:rowOff>
    </xdr:to>
    <xdr:pic>
      <xdr:nvPicPr>
        <xdr:cNvPr id="108" name="Imagem 200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/>
      </xdr:nvPicPr>
      <xdr:blipFill>
        <a:blip xmlns:r="http://schemas.openxmlformats.org/officeDocument/2006/relationships" r:embed="rId89"/>
        <a:stretch/>
      </xdr:blipFill>
      <xdr:spPr>
        <a:xfrm>
          <a:off x="1452240" y="280271520"/>
          <a:ext cx="1856520" cy="1155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345240</xdr:colOff>
      <xdr:row>1298</xdr:row>
      <xdr:rowOff>13320</xdr:rowOff>
    </xdr:from>
    <xdr:to>
      <xdr:col>0</xdr:col>
      <xdr:colOff>1342440</xdr:colOff>
      <xdr:row>1304</xdr:row>
      <xdr:rowOff>190440</xdr:rowOff>
    </xdr:to>
    <xdr:pic>
      <xdr:nvPicPr>
        <xdr:cNvPr id="109" name="Imagem 202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/>
      </xdr:nvPicPr>
      <xdr:blipFill>
        <a:blip xmlns:r="http://schemas.openxmlformats.org/officeDocument/2006/relationships" r:embed="rId90"/>
        <a:stretch/>
      </xdr:blipFill>
      <xdr:spPr>
        <a:xfrm>
          <a:off x="345240" y="280052280"/>
          <a:ext cx="997200" cy="1320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378000</xdr:colOff>
      <xdr:row>1308</xdr:row>
      <xdr:rowOff>11520</xdr:rowOff>
    </xdr:from>
    <xdr:to>
      <xdr:col>0</xdr:col>
      <xdr:colOff>3223800</xdr:colOff>
      <xdr:row>1316</xdr:row>
      <xdr:rowOff>15480</xdr:rowOff>
    </xdr:to>
    <xdr:pic>
      <xdr:nvPicPr>
        <xdr:cNvPr id="110" name="Imagem 228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/>
      </xdr:nvPicPr>
      <xdr:blipFill>
        <a:blip xmlns:r="http://schemas.openxmlformats.org/officeDocument/2006/relationships" r:embed="rId91"/>
        <a:stretch/>
      </xdr:blipFill>
      <xdr:spPr>
        <a:xfrm>
          <a:off x="378000" y="282134880"/>
          <a:ext cx="2845800" cy="1528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1321</xdr:row>
      <xdr:rowOff>51480</xdr:rowOff>
    </xdr:from>
    <xdr:to>
      <xdr:col>0</xdr:col>
      <xdr:colOff>3371760</xdr:colOff>
      <xdr:row>1328</xdr:row>
      <xdr:rowOff>144720</xdr:rowOff>
    </xdr:to>
    <xdr:pic>
      <xdr:nvPicPr>
        <xdr:cNvPr id="111" name="Imagem 232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/>
      </xdr:nvPicPr>
      <xdr:blipFill>
        <a:blip xmlns:r="http://schemas.openxmlformats.org/officeDocument/2006/relationships" r:embed="rId92"/>
        <a:stretch/>
      </xdr:blipFill>
      <xdr:spPr>
        <a:xfrm>
          <a:off x="0" y="284831280"/>
          <a:ext cx="3371760" cy="1426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156960</xdr:colOff>
      <xdr:row>1331</xdr:row>
      <xdr:rowOff>50760</xdr:rowOff>
    </xdr:from>
    <xdr:to>
      <xdr:col>0</xdr:col>
      <xdr:colOff>3343680</xdr:colOff>
      <xdr:row>1340</xdr:row>
      <xdr:rowOff>50400</xdr:rowOff>
    </xdr:to>
    <xdr:pic>
      <xdr:nvPicPr>
        <xdr:cNvPr id="112" name="Imagem 235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/>
      </xdr:nvPicPr>
      <xdr:blipFill>
        <a:blip xmlns:r="http://schemas.openxmlformats.org/officeDocument/2006/relationships" r:embed="rId93"/>
        <a:stretch/>
      </xdr:blipFill>
      <xdr:spPr>
        <a:xfrm>
          <a:off x="156960" y="286915320"/>
          <a:ext cx="3186720" cy="1713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1349</xdr:row>
      <xdr:rowOff>2520</xdr:rowOff>
    </xdr:from>
    <xdr:to>
      <xdr:col>0</xdr:col>
      <xdr:colOff>3422880</xdr:colOff>
      <xdr:row>1358</xdr:row>
      <xdr:rowOff>65520</xdr:rowOff>
    </xdr:to>
    <xdr:pic>
      <xdr:nvPicPr>
        <xdr:cNvPr id="113" name="Imagem 269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/>
      </xdr:nvPicPr>
      <xdr:blipFill>
        <a:blip xmlns:r="http://schemas.openxmlformats.org/officeDocument/2006/relationships" r:embed="rId94"/>
        <a:stretch/>
      </xdr:blipFill>
      <xdr:spPr>
        <a:xfrm>
          <a:off x="0" y="290475720"/>
          <a:ext cx="3422880" cy="1777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294480</xdr:colOff>
      <xdr:row>1363</xdr:row>
      <xdr:rowOff>3240</xdr:rowOff>
    </xdr:from>
    <xdr:to>
      <xdr:col>0</xdr:col>
      <xdr:colOff>3374280</xdr:colOff>
      <xdr:row>1370</xdr:row>
      <xdr:rowOff>138960</xdr:rowOff>
    </xdr:to>
    <xdr:pic>
      <xdr:nvPicPr>
        <xdr:cNvPr id="114" name="Imagem 273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/>
      </xdr:nvPicPr>
      <xdr:blipFill>
        <a:blip xmlns:r="http://schemas.openxmlformats.org/officeDocument/2006/relationships" r:embed="rId95"/>
        <a:stretch/>
      </xdr:blipFill>
      <xdr:spPr>
        <a:xfrm>
          <a:off x="294480" y="293322960"/>
          <a:ext cx="3079800" cy="1469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68040</xdr:colOff>
      <xdr:row>1377</xdr:row>
      <xdr:rowOff>171000</xdr:rowOff>
    </xdr:from>
    <xdr:to>
      <xdr:col>0</xdr:col>
      <xdr:colOff>3249360</xdr:colOff>
      <xdr:row>1384</xdr:row>
      <xdr:rowOff>122760</xdr:rowOff>
    </xdr:to>
    <xdr:pic>
      <xdr:nvPicPr>
        <xdr:cNvPr id="115" name="Imagem 277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/>
      </xdr:nvPicPr>
      <xdr:blipFill>
        <a:blip xmlns:r="http://schemas.openxmlformats.org/officeDocument/2006/relationships" r:embed="rId96"/>
        <a:stretch/>
      </xdr:blipFill>
      <xdr:spPr>
        <a:xfrm>
          <a:off x="68040" y="296337600"/>
          <a:ext cx="3181320" cy="1285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34920</xdr:colOff>
      <xdr:row>1393</xdr:row>
      <xdr:rowOff>131400</xdr:rowOff>
    </xdr:from>
    <xdr:to>
      <xdr:col>0</xdr:col>
      <xdr:colOff>3311280</xdr:colOff>
      <xdr:row>1399</xdr:row>
      <xdr:rowOff>124920</xdr:rowOff>
    </xdr:to>
    <xdr:pic>
      <xdr:nvPicPr>
        <xdr:cNvPr id="116" name="Imagem 279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/>
      </xdr:nvPicPr>
      <xdr:blipFill>
        <a:blip xmlns:r="http://schemas.openxmlformats.org/officeDocument/2006/relationships" r:embed="rId97"/>
        <a:stretch/>
      </xdr:blipFill>
      <xdr:spPr>
        <a:xfrm>
          <a:off x="34920" y="299525760"/>
          <a:ext cx="3276360" cy="1136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480600</xdr:colOff>
      <xdr:row>1405</xdr:row>
      <xdr:rowOff>43920</xdr:rowOff>
    </xdr:from>
    <xdr:to>
      <xdr:col>0</xdr:col>
      <xdr:colOff>3093840</xdr:colOff>
      <xdr:row>1413</xdr:row>
      <xdr:rowOff>79560</xdr:rowOff>
    </xdr:to>
    <xdr:pic>
      <xdr:nvPicPr>
        <xdr:cNvPr id="117" name="Imagem 282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/>
      </xdr:nvPicPr>
      <xdr:blipFill>
        <a:blip xmlns:r="http://schemas.openxmlformats.org/officeDocument/2006/relationships" r:embed="rId98"/>
        <a:stretch/>
      </xdr:blipFill>
      <xdr:spPr>
        <a:xfrm>
          <a:off x="480600" y="301903920"/>
          <a:ext cx="2613240" cy="1559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107640</xdr:colOff>
      <xdr:row>1437</xdr:row>
      <xdr:rowOff>97920</xdr:rowOff>
    </xdr:from>
    <xdr:to>
      <xdr:col>0</xdr:col>
      <xdr:colOff>1820520</xdr:colOff>
      <xdr:row>1442</xdr:row>
      <xdr:rowOff>13320</xdr:rowOff>
    </xdr:to>
    <xdr:pic>
      <xdr:nvPicPr>
        <xdr:cNvPr id="118" name="Imagem 284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/>
      </xdr:nvPicPr>
      <xdr:blipFill>
        <a:blip xmlns:r="http://schemas.openxmlformats.org/officeDocument/2006/relationships" r:embed="rId99"/>
        <a:stretch/>
      </xdr:blipFill>
      <xdr:spPr>
        <a:xfrm flipH="1">
          <a:off x="107640" y="308593080"/>
          <a:ext cx="1712880" cy="86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1497240</xdr:colOff>
      <xdr:row>1440</xdr:row>
      <xdr:rowOff>129600</xdr:rowOff>
    </xdr:from>
    <xdr:to>
      <xdr:col>0</xdr:col>
      <xdr:colOff>3349080</xdr:colOff>
      <xdr:row>1445</xdr:row>
      <xdr:rowOff>113040</xdr:rowOff>
    </xdr:to>
    <xdr:pic>
      <xdr:nvPicPr>
        <xdr:cNvPr id="119" name="Imagem 285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/>
      </xdr:nvPicPr>
      <xdr:blipFill>
        <a:blip xmlns:r="http://schemas.openxmlformats.org/officeDocument/2006/relationships" r:embed="rId100"/>
        <a:stretch/>
      </xdr:blipFill>
      <xdr:spPr>
        <a:xfrm>
          <a:off x="1497240" y="309196080"/>
          <a:ext cx="1851840" cy="936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199800</xdr:colOff>
      <xdr:row>1448</xdr:row>
      <xdr:rowOff>58320</xdr:rowOff>
    </xdr:from>
    <xdr:to>
      <xdr:col>0</xdr:col>
      <xdr:colOff>1786320</xdr:colOff>
      <xdr:row>1453</xdr:row>
      <xdr:rowOff>164160</xdr:rowOff>
    </xdr:to>
    <xdr:pic>
      <xdr:nvPicPr>
        <xdr:cNvPr id="120" name="Imagem 164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/>
      </xdr:nvPicPr>
      <xdr:blipFill>
        <a:blip xmlns:r="http://schemas.openxmlformats.org/officeDocument/2006/relationships" r:embed="rId101"/>
        <a:stretch/>
      </xdr:blipFill>
      <xdr:spPr>
        <a:xfrm>
          <a:off x="199800" y="310828680"/>
          <a:ext cx="1586520" cy="1058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1822680</xdr:colOff>
      <xdr:row>1450</xdr:row>
      <xdr:rowOff>84960</xdr:rowOff>
    </xdr:from>
    <xdr:to>
      <xdr:col>0</xdr:col>
      <xdr:colOff>3404160</xdr:colOff>
      <xdr:row>1455</xdr:row>
      <xdr:rowOff>360</xdr:rowOff>
    </xdr:to>
    <xdr:pic>
      <xdr:nvPicPr>
        <xdr:cNvPr id="121" name="Imagem 168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/>
      </xdr:nvPicPr>
      <xdr:blipFill>
        <a:blip xmlns:r="http://schemas.openxmlformats.org/officeDocument/2006/relationships" r:embed="rId102"/>
        <a:stretch/>
      </xdr:blipFill>
      <xdr:spPr>
        <a:xfrm>
          <a:off x="1822680" y="311236200"/>
          <a:ext cx="1581480" cy="86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1458</xdr:row>
      <xdr:rowOff>76680</xdr:rowOff>
    </xdr:from>
    <xdr:to>
      <xdr:col>0</xdr:col>
      <xdr:colOff>2051640</xdr:colOff>
      <xdr:row>1465</xdr:row>
      <xdr:rowOff>113760</xdr:rowOff>
    </xdr:to>
    <xdr:pic>
      <xdr:nvPicPr>
        <xdr:cNvPr id="122" name="Imagem 170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/>
      </xdr:nvPicPr>
      <xdr:blipFill>
        <a:blip xmlns:r="http://schemas.openxmlformats.org/officeDocument/2006/relationships" r:embed="rId103"/>
        <a:stretch/>
      </xdr:blipFill>
      <xdr:spPr>
        <a:xfrm>
          <a:off x="0" y="312931800"/>
          <a:ext cx="2051640" cy="1370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1503360</xdr:colOff>
      <xdr:row>1461</xdr:row>
      <xdr:rowOff>106560</xdr:rowOff>
    </xdr:from>
    <xdr:to>
      <xdr:col>0</xdr:col>
      <xdr:colOff>3484320</xdr:colOff>
      <xdr:row>1469</xdr:row>
      <xdr:rowOff>1800</xdr:rowOff>
    </xdr:to>
    <xdr:pic>
      <xdr:nvPicPr>
        <xdr:cNvPr id="123" name="Imagem 171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/>
      </xdr:nvPicPr>
      <xdr:blipFill>
        <a:blip xmlns:r="http://schemas.openxmlformats.org/officeDocument/2006/relationships" r:embed="rId104"/>
        <a:stretch/>
      </xdr:blipFill>
      <xdr:spPr>
        <a:xfrm>
          <a:off x="1503360" y="313533000"/>
          <a:ext cx="2133360" cy="1419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210240</xdr:colOff>
      <xdr:row>1472</xdr:row>
      <xdr:rowOff>56520</xdr:rowOff>
    </xdr:from>
    <xdr:to>
      <xdr:col>0</xdr:col>
      <xdr:colOff>1522440</xdr:colOff>
      <xdr:row>1477</xdr:row>
      <xdr:rowOff>121680</xdr:rowOff>
    </xdr:to>
    <xdr:pic>
      <xdr:nvPicPr>
        <xdr:cNvPr id="124" name="Imagem 185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/>
      </xdr:nvPicPr>
      <xdr:blipFill>
        <a:blip xmlns:r="http://schemas.openxmlformats.org/officeDocument/2006/relationships" r:embed="rId105"/>
        <a:stretch/>
      </xdr:blipFill>
      <xdr:spPr>
        <a:xfrm>
          <a:off x="210240" y="315758160"/>
          <a:ext cx="1312200" cy="1017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1927080</xdr:colOff>
      <xdr:row>1473</xdr:row>
      <xdr:rowOff>11880</xdr:rowOff>
    </xdr:from>
    <xdr:to>
      <xdr:col>0</xdr:col>
      <xdr:colOff>3243960</xdr:colOff>
      <xdr:row>1478</xdr:row>
      <xdr:rowOff>38880</xdr:rowOff>
    </xdr:to>
    <xdr:pic>
      <xdr:nvPicPr>
        <xdr:cNvPr id="125" name="Imagem 186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/>
      </xdr:nvPicPr>
      <xdr:blipFill>
        <a:blip xmlns:r="http://schemas.openxmlformats.org/officeDocument/2006/relationships" r:embed="rId106"/>
        <a:stretch/>
      </xdr:blipFill>
      <xdr:spPr>
        <a:xfrm>
          <a:off x="1927080" y="315903960"/>
          <a:ext cx="1316880" cy="979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283680</xdr:colOff>
      <xdr:row>1481</xdr:row>
      <xdr:rowOff>167400</xdr:rowOff>
    </xdr:from>
    <xdr:to>
      <xdr:col>0</xdr:col>
      <xdr:colOff>1374120</xdr:colOff>
      <xdr:row>1488</xdr:row>
      <xdr:rowOff>67680</xdr:rowOff>
    </xdr:to>
    <xdr:pic>
      <xdr:nvPicPr>
        <xdr:cNvPr id="126" name="Imagem 189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/>
      </xdr:nvPicPr>
      <xdr:blipFill>
        <a:blip xmlns:r="http://schemas.openxmlformats.org/officeDocument/2006/relationships" r:embed="rId107"/>
        <a:stretch/>
      </xdr:blipFill>
      <xdr:spPr>
        <a:xfrm>
          <a:off x="283680" y="317763360"/>
          <a:ext cx="1090440" cy="1233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1739520</xdr:colOff>
      <xdr:row>1482</xdr:row>
      <xdr:rowOff>79560</xdr:rowOff>
    </xdr:from>
    <xdr:to>
      <xdr:col>0</xdr:col>
      <xdr:colOff>3163680</xdr:colOff>
      <xdr:row>1488</xdr:row>
      <xdr:rowOff>60840</xdr:rowOff>
    </xdr:to>
    <xdr:pic>
      <xdr:nvPicPr>
        <xdr:cNvPr id="127" name="Imagem 190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/>
      </xdr:nvPicPr>
      <xdr:blipFill>
        <a:blip xmlns:r="http://schemas.openxmlformats.org/officeDocument/2006/relationships" r:embed="rId108"/>
        <a:stretch/>
      </xdr:blipFill>
      <xdr:spPr>
        <a:xfrm>
          <a:off x="1739520" y="317865960"/>
          <a:ext cx="1424160" cy="1124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66240</xdr:colOff>
      <xdr:row>1492</xdr:row>
      <xdr:rowOff>109440</xdr:rowOff>
    </xdr:from>
    <xdr:to>
      <xdr:col>0</xdr:col>
      <xdr:colOff>1682640</xdr:colOff>
      <xdr:row>1497</xdr:row>
      <xdr:rowOff>42120</xdr:rowOff>
    </xdr:to>
    <xdr:pic>
      <xdr:nvPicPr>
        <xdr:cNvPr id="128" name="Imagem 195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/>
      </xdr:nvPicPr>
      <xdr:blipFill>
        <a:blip xmlns:r="http://schemas.openxmlformats.org/officeDocument/2006/relationships" r:embed="rId109"/>
        <a:stretch/>
      </xdr:blipFill>
      <xdr:spPr>
        <a:xfrm>
          <a:off x="66240" y="319980600"/>
          <a:ext cx="1616400" cy="885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1784520</xdr:colOff>
      <xdr:row>1492</xdr:row>
      <xdr:rowOff>14760</xdr:rowOff>
    </xdr:from>
    <xdr:to>
      <xdr:col>0</xdr:col>
      <xdr:colOff>3399840</xdr:colOff>
      <xdr:row>1497</xdr:row>
      <xdr:rowOff>110520</xdr:rowOff>
    </xdr:to>
    <xdr:pic>
      <xdr:nvPicPr>
        <xdr:cNvPr id="129" name="Imagem 197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/>
      </xdr:nvPicPr>
      <xdr:blipFill>
        <a:blip xmlns:r="http://schemas.openxmlformats.org/officeDocument/2006/relationships" r:embed="rId110"/>
        <a:stretch/>
      </xdr:blipFill>
      <xdr:spPr>
        <a:xfrm>
          <a:off x="1784520" y="319885920"/>
          <a:ext cx="1615320" cy="104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456120</xdr:colOff>
      <xdr:row>1524</xdr:row>
      <xdr:rowOff>28800</xdr:rowOff>
    </xdr:from>
    <xdr:to>
      <xdr:col>0</xdr:col>
      <xdr:colOff>3152160</xdr:colOff>
      <xdr:row>1531</xdr:row>
      <xdr:rowOff>55800</xdr:rowOff>
    </xdr:to>
    <xdr:pic>
      <xdr:nvPicPr>
        <xdr:cNvPr id="130" name="Imagem 203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/>
      </xdr:nvPicPr>
      <xdr:blipFill>
        <a:blip xmlns:r="http://schemas.openxmlformats.org/officeDocument/2006/relationships" r:embed="rId111"/>
        <a:stretch/>
      </xdr:blipFill>
      <xdr:spPr>
        <a:xfrm>
          <a:off x="456120" y="326833560"/>
          <a:ext cx="2696040" cy="136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490</xdr:row>
      <xdr:rowOff>46440</xdr:rowOff>
    </xdr:from>
    <xdr:to>
      <xdr:col>0</xdr:col>
      <xdr:colOff>3222000</xdr:colOff>
      <xdr:row>494</xdr:row>
      <xdr:rowOff>188280</xdr:rowOff>
    </xdr:to>
    <xdr:pic>
      <xdr:nvPicPr>
        <xdr:cNvPr id="131" name="Imagem 204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/>
      </xdr:nvPicPr>
      <xdr:blipFill>
        <a:blip xmlns:r="http://schemas.openxmlformats.org/officeDocument/2006/relationships" r:embed="rId112"/>
        <a:stretch/>
      </xdr:blipFill>
      <xdr:spPr>
        <a:xfrm>
          <a:off x="0" y="119258280"/>
          <a:ext cx="3222000" cy="1023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377280</xdr:colOff>
      <xdr:row>1536</xdr:row>
      <xdr:rowOff>80640</xdr:rowOff>
    </xdr:from>
    <xdr:to>
      <xdr:col>0</xdr:col>
      <xdr:colOff>3041280</xdr:colOff>
      <xdr:row>1544</xdr:row>
      <xdr:rowOff>182880</xdr:rowOff>
    </xdr:to>
    <xdr:pic>
      <xdr:nvPicPr>
        <xdr:cNvPr id="132" name="Imagem 206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/>
      </xdr:nvPicPr>
      <xdr:blipFill>
        <a:blip xmlns:r="http://schemas.openxmlformats.org/officeDocument/2006/relationships" r:embed="rId113"/>
        <a:stretch/>
      </xdr:blipFill>
      <xdr:spPr>
        <a:xfrm>
          <a:off x="377280" y="329351040"/>
          <a:ext cx="2664000" cy="1626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60120</xdr:colOff>
      <xdr:row>1582</xdr:row>
      <xdr:rowOff>97200</xdr:rowOff>
    </xdr:from>
    <xdr:to>
      <xdr:col>0</xdr:col>
      <xdr:colOff>3472560</xdr:colOff>
      <xdr:row>1588</xdr:row>
      <xdr:rowOff>14040</xdr:rowOff>
    </xdr:to>
    <xdr:pic>
      <xdr:nvPicPr>
        <xdr:cNvPr id="133" name="Imagem 174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/>
      </xdr:nvPicPr>
      <xdr:blipFill>
        <a:blip xmlns:r="http://schemas.openxmlformats.org/officeDocument/2006/relationships" r:embed="rId114"/>
        <a:stretch/>
      </xdr:blipFill>
      <xdr:spPr>
        <a:xfrm>
          <a:off x="60120" y="338490000"/>
          <a:ext cx="3412440" cy="1059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363600</xdr:colOff>
      <xdr:row>1597</xdr:row>
      <xdr:rowOff>54720</xdr:rowOff>
    </xdr:from>
    <xdr:to>
      <xdr:col>0</xdr:col>
      <xdr:colOff>3151440</xdr:colOff>
      <xdr:row>1605</xdr:row>
      <xdr:rowOff>147600</xdr:rowOff>
    </xdr:to>
    <xdr:pic>
      <xdr:nvPicPr>
        <xdr:cNvPr id="134" name="Imagem 188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/>
      </xdr:nvPicPr>
      <xdr:blipFill>
        <a:blip xmlns:r="http://schemas.openxmlformats.org/officeDocument/2006/relationships" r:embed="rId115"/>
        <a:stretch/>
      </xdr:blipFill>
      <xdr:spPr>
        <a:xfrm>
          <a:off x="363600" y="341484840"/>
          <a:ext cx="2787840" cy="1616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165240</xdr:colOff>
      <xdr:row>1613</xdr:row>
      <xdr:rowOff>25560</xdr:rowOff>
    </xdr:from>
    <xdr:to>
      <xdr:col>0</xdr:col>
      <xdr:colOff>3387240</xdr:colOff>
      <xdr:row>1620</xdr:row>
      <xdr:rowOff>3600</xdr:rowOff>
    </xdr:to>
    <xdr:pic>
      <xdr:nvPicPr>
        <xdr:cNvPr id="135" name="Imagem 192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/>
      </xdr:nvPicPr>
      <xdr:blipFill>
        <a:blip xmlns:r="http://schemas.openxmlformats.org/officeDocument/2006/relationships" r:embed="rId116"/>
        <a:stretch/>
      </xdr:blipFill>
      <xdr:spPr>
        <a:xfrm>
          <a:off x="165240" y="344683080"/>
          <a:ext cx="3222000" cy="1311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293040</xdr:colOff>
      <xdr:row>1673</xdr:row>
      <xdr:rowOff>116280</xdr:rowOff>
    </xdr:from>
    <xdr:to>
      <xdr:col>0</xdr:col>
      <xdr:colOff>3245040</xdr:colOff>
      <xdr:row>1680</xdr:row>
      <xdr:rowOff>120960</xdr:rowOff>
    </xdr:to>
    <xdr:pic>
      <xdr:nvPicPr>
        <xdr:cNvPr id="136" name="Imagem 209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/>
      </xdr:nvPicPr>
      <xdr:blipFill>
        <a:blip xmlns:r="http://schemas.openxmlformats.org/officeDocument/2006/relationships" r:embed="rId117"/>
        <a:stretch/>
      </xdr:blipFill>
      <xdr:spPr>
        <a:xfrm>
          <a:off x="293040" y="357027480"/>
          <a:ext cx="2952000" cy="1338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100440</xdr:colOff>
      <xdr:row>1683</xdr:row>
      <xdr:rowOff>11160</xdr:rowOff>
    </xdr:from>
    <xdr:to>
      <xdr:col>0</xdr:col>
      <xdr:colOff>3222360</xdr:colOff>
      <xdr:row>1695</xdr:row>
      <xdr:rowOff>72360</xdr:rowOff>
    </xdr:to>
    <xdr:pic>
      <xdr:nvPicPr>
        <xdr:cNvPr id="137" name="Imagem 1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/>
      </xdr:nvPicPr>
      <xdr:blipFill>
        <a:blip xmlns:r="http://schemas.openxmlformats.org/officeDocument/2006/relationships" r:embed="rId118"/>
        <a:stretch/>
      </xdr:blipFill>
      <xdr:spPr>
        <a:xfrm>
          <a:off x="100440" y="359007120"/>
          <a:ext cx="3121920" cy="2347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119880</xdr:colOff>
      <xdr:row>1702</xdr:row>
      <xdr:rowOff>42840</xdr:rowOff>
    </xdr:from>
    <xdr:to>
      <xdr:col>0</xdr:col>
      <xdr:colOff>3328200</xdr:colOff>
      <xdr:row>1708</xdr:row>
      <xdr:rowOff>164520</xdr:rowOff>
    </xdr:to>
    <xdr:pic>
      <xdr:nvPicPr>
        <xdr:cNvPr id="138" name="Imagem 215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/>
      </xdr:nvPicPr>
      <xdr:blipFill>
        <a:blip xmlns:r="http://schemas.openxmlformats.org/officeDocument/2006/relationships" r:embed="rId119"/>
        <a:stretch/>
      </xdr:blipFill>
      <xdr:spPr>
        <a:xfrm>
          <a:off x="119880" y="362837880"/>
          <a:ext cx="3208320" cy="1264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183960</xdr:colOff>
      <xdr:row>1717</xdr:row>
      <xdr:rowOff>54720</xdr:rowOff>
    </xdr:from>
    <xdr:to>
      <xdr:col>1</xdr:col>
      <xdr:colOff>5231</xdr:colOff>
      <xdr:row>1725</xdr:row>
      <xdr:rowOff>152280</xdr:rowOff>
    </xdr:to>
    <xdr:pic>
      <xdr:nvPicPr>
        <xdr:cNvPr id="139" name="Imagem 220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/>
      </xdr:nvPicPr>
      <xdr:blipFill>
        <a:blip xmlns:r="http://schemas.openxmlformats.org/officeDocument/2006/relationships" r:embed="rId120"/>
        <a:stretch/>
      </xdr:blipFill>
      <xdr:spPr>
        <a:xfrm>
          <a:off x="183960" y="365887080"/>
          <a:ext cx="3344400" cy="1621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213480</xdr:colOff>
      <xdr:row>1730</xdr:row>
      <xdr:rowOff>305280</xdr:rowOff>
    </xdr:from>
    <xdr:to>
      <xdr:col>0</xdr:col>
      <xdr:colOff>3027240</xdr:colOff>
      <xdr:row>1741</xdr:row>
      <xdr:rowOff>146520</xdr:rowOff>
    </xdr:to>
    <xdr:pic>
      <xdr:nvPicPr>
        <xdr:cNvPr id="140" name="Imagem 18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/>
      </xdr:nvPicPr>
      <xdr:blipFill>
        <a:blip xmlns:r="http://schemas.openxmlformats.org/officeDocument/2006/relationships" r:embed="rId121"/>
        <a:stretch/>
      </xdr:blipFill>
      <xdr:spPr>
        <a:xfrm>
          <a:off x="213480" y="368614080"/>
          <a:ext cx="2813760" cy="2116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710280</xdr:colOff>
      <xdr:row>1737</xdr:row>
      <xdr:rowOff>61560</xdr:rowOff>
    </xdr:from>
    <xdr:to>
      <xdr:col>0</xdr:col>
      <xdr:colOff>2572200</xdr:colOff>
      <xdr:row>1744</xdr:row>
      <xdr:rowOff>124920</xdr:rowOff>
    </xdr:to>
    <xdr:pic>
      <xdr:nvPicPr>
        <xdr:cNvPr id="141" name="Imagem 3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/>
      </xdr:nvPicPr>
      <xdr:blipFill>
        <a:blip xmlns:r="http://schemas.openxmlformats.org/officeDocument/2006/relationships" r:embed="rId122"/>
        <a:stretch/>
      </xdr:blipFill>
      <xdr:spPr>
        <a:xfrm>
          <a:off x="710280" y="369883800"/>
          <a:ext cx="1861920" cy="1396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114840</xdr:colOff>
      <xdr:row>1748</xdr:row>
      <xdr:rowOff>19440</xdr:rowOff>
    </xdr:from>
    <xdr:to>
      <xdr:col>0</xdr:col>
      <xdr:colOff>2508480</xdr:colOff>
      <xdr:row>1754</xdr:row>
      <xdr:rowOff>30240</xdr:rowOff>
    </xdr:to>
    <xdr:pic>
      <xdr:nvPicPr>
        <xdr:cNvPr id="142" name="Imagem 234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/>
      </xdr:nvPicPr>
      <xdr:blipFill>
        <a:blip xmlns:r="http://schemas.openxmlformats.org/officeDocument/2006/relationships" r:embed="rId123"/>
        <a:stretch/>
      </xdr:blipFill>
      <xdr:spPr>
        <a:xfrm>
          <a:off x="114840" y="372116880"/>
          <a:ext cx="2393640" cy="1153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993960</xdr:colOff>
      <xdr:row>1754</xdr:row>
      <xdr:rowOff>169200</xdr:rowOff>
    </xdr:from>
    <xdr:to>
      <xdr:col>0</xdr:col>
      <xdr:colOff>3272400</xdr:colOff>
      <xdr:row>1760</xdr:row>
      <xdr:rowOff>104040</xdr:rowOff>
    </xdr:to>
    <xdr:pic>
      <xdr:nvPicPr>
        <xdr:cNvPr id="143" name="Imagem 240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/>
      </xdr:nvPicPr>
      <xdr:blipFill>
        <a:blip xmlns:r="http://schemas.openxmlformats.org/officeDocument/2006/relationships" r:embed="rId124"/>
        <a:stretch/>
      </xdr:blipFill>
      <xdr:spPr>
        <a:xfrm>
          <a:off x="993960" y="373409640"/>
          <a:ext cx="2278440" cy="107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182520</xdr:colOff>
      <xdr:row>1766</xdr:row>
      <xdr:rowOff>5760</xdr:rowOff>
    </xdr:from>
    <xdr:to>
      <xdr:col>0</xdr:col>
      <xdr:colOff>3445200</xdr:colOff>
      <xdr:row>1774</xdr:row>
      <xdr:rowOff>300</xdr:rowOff>
    </xdr:to>
    <xdr:pic>
      <xdr:nvPicPr>
        <xdr:cNvPr id="144" name="Imagem 260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/>
      </xdr:nvPicPr>
      <xdr:blipFill>
        <a:blip xmlns:r="http://schemas.openxmlformats.org/officeDocument/2006/relationships" r:embed="rId125"/>
        <a:stretch/>
      </xdr:blipFill>
      <xdr:spPr>
        <a:xfrm>
          <a:off x="182520" y="375711840"/>
          <a:ext cx="3262680" cy="1518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527400</xdr:colOff>
      <xdr:row>1779</xdr:row>
      <xdr:rowOff>115920</xdr:rowOff>
    </xdr:from>
    <xdr:to>
      <xdr:col>0</xdr:col>
      <xdr:colOff>1412640</xdr:colOff>
      <xdr:row>1785</xdr:row>
      <xdr:rowOff>167760</xdr:rowOff>
    </xdr:to>
    <xdr:pic>
      <xdr:nvPicPr>
        <xdr:cNvPr id="145" name="Imagem 262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/>
      </xdr:nvPicPr>
      <xdr:blipFill>
        <a:blip xmlns:r="http://schemas.openxmlformats.org/officeDocument/2006/relationships" r:embed="rId126"/>
        <a:stretch/>
      </xdr:blipFill>
      <xdr:spPr>
        <a:xfrm>
          <a:off x="527400" y="378478080"/>
          <a:ext cx="885240" cy="1194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1744560</xdr:colOff>
      <xdr:row>1779</xdr:row>
      <xdr:rowOff>105840</xdr:rowOff>
    </xdr:from>
    <xdr:to>
      <xdr:col>0</xdr:col>
      <xdr:colOff>2870640</xdr:colOff>
      <xdr:row>1785</xdr:row>
      <xdr:rowOff>143280</xdr:rowOff>
    </xdr:to>
    <xdr:pic>
      <xdr:nvPicPr>
        <xdr:cNvPr id="146" name="Imagem 264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/>
      </xdr:nvPicPr>
      <xdr:blipFill>
        <a:blip xmlns:r="http://schemas.openxmlformats.org/officeDocument/2006/relationships" r:embed="rId127"/>
        <a:stretch/>
      </xdr:blipFill>
      <xdr:spPr>
        <a:xfrm>
          <a:off x="1744560" y="378468000"/>
          <a:ext cx="1126080" cy="118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278280</xdr:colOff>
      <xdr:row>1797</xdr:row>
      <xdr:rowOff>95400</xdr:rowOff>
    </xdr:from>
    <xdr:to>
      <xdr:col>0</xdr:col>
      <xdr:colOff>1424880</xdr:colOff>
      <xdr:row>1803</xdr:row>
      <xdr:rowOff>160560</xdr:rowOff>
    </xdr:to>
    <xdr:pic>
      <xdr:nvPicPr>
        <xdr:cNvPr id="147" name="Imagem 210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/>
      </xdr:nvPicPr>
      <xdr:blipFill>
        <a:blip xmlns:r="http://schemas.openxmlformats.org/officeDocument/2006/relationships" r:embed="rId128"/>
        <a:stretch/>
      </xdr:blipFill>
      <xdr:spPr>
        <a:xfrm>
          <a:off x="278280" y="382246200"/>
          <a:ext cx="114660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1743480</xdr:colOff>
      <xdr:row>1797</xdr:row>
      <xdr:rowOff>70200</xdr:rowOff>
    </xdr:from>
    <xdr:to>
      <xdr:col>0</xdr:col>
      <xdr:colOff>3006000</xdr:colOff>
      <xdr:row>1803</xdr:row>
      <xdr:rowOff>135360</xdr:rowOff>
    </xdr:to>
    <xdr:pic>
      <xdr:nvPicPr>
        <xdr:cNvPr id="148" name="Imagem 211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/>
      </xdr:nvPicPr>
      <xdr:blipFill>
        <a:blip xmlns:r="http://schemas.openxmlformats.org/officeDocument/2006/relationships" r:embed="rId129"/>
        <a:stretch/>
      </xdr:blipFill>
      <xdr:spPr>
        <a:xfrm>
          <a:off x="1743480" y="382221000"/>
          <a:ext cx="126252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224640</xdr:colOff>
      <xdr:row>1806</xdr:row>
      <xdr:rowOff>14400</xdr:rowOff>
    </xdr:from>
    <xdr:to>
      <xdr:col>0</xdr:col>
      <xdr:colOff>1542960</xdr:colOff>
      <xdr:row>1812</xdr:row>
      <xdr:rowOff>9000</xdr:rowOff>
    </xdr:to>
    <xdr:pic>
      <xdr:nvPicPr>
        <xdr:cNvPr id="149" name="Imagem 227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/>
      </xdr:nvPicPr>
      <xdr:blipFill>
        <a:blip xmlns:r="http://schemas.openxmlformats.org/officeDocument/2006/relationships" r:embed="rId130"/>
        <a:stretch/>
      </xdr:blipFill>
      <xdr:spPr>
        <a:xfrm>
          <a:off x="224640" y="384059160"/>
          <a:ext cx="1318320" cy="1137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1798920</xdr:colOff>
      <xdr:row>1806</xdr:row>
      <xdr:rowOff>120240</xdr:rowOff>
    </xdr:from>
    <xdr:to>
      <xdr:col>0</xdr:col>
      <xdr:colOff>3256560</xdr:colOff>
      <xdr:row>1812</xdr:row>
      <xdr:rowOff>25560</xdr:rowOff>
    </xdr:to>
    <xdr:pic>
      <xdr:nvPicPr>
        <xdr:cNvPr id="150" name="Imagem 22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/>
      </xdr:nvPicPr>
      <xdr:blipFill>
        <a:blip xmlns:r="http://schemas.openxmlformats.org/officeDocument/2006/relationships" r:embed="rId131"/>
        <a:stretch/>
      </xdr:blipFill>
      <xdr:spPr>
        <a:xfrm>
          <a:off x="1798920" y="384165000"/>
          <a:ext cx="1457640" cy="104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188280</xdr:colOff>
      <xdr:row>1814</xdr:row>
      <xdr:rowOff>150840</xdr:rowOff>
    </xdr:from>
    <xdr:to>
      <xdr:col>0</xdr:col>
      <xdr:colOff>1400400</xdr:colOff>
      <xdr:row>1820</xdr:row>
      <xdr:rowOff>188640</xdr:rowOff>
    </xdr:to>
    <xdr:pic>
      <xdr:nvPicPr>
        <xdr:cNvPr id="151" name="Imagem 261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/>
      </xdr:nvPicPr>
      <xdr:blipFill>
        <a:blip xmlns:r="http://schemas.openxmlformats.org/officeDocument/2006/relationships" r:embed="rId132"/>
        <a:stretch/>
      </xdr:blipFill>
      <xdr:spPr>
        <a:xfrm>
          <a:off x="188280" y="385899480"/>
          <a:ext cx="121212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1758240</xdr:colOff>
      <xdr:row>1814</xdr:row>
      <xdr:rowOff>122400</xdr:rowOff>
    </xdr:from>
    <xdr:to>
      <xdr:col>0</xdr:col>
      <xdr:colOff>2980080</xdr:colOff>
      <xdr:row>1820</xdr:row>
      <xdr:rowOff>160200</xdr:rowOff>
    </xdr:to>
    <xdr:pic>
      <xdr:nvPicPr>
        <xdr:cNvPr id="152" name="Imagem 265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/>
      </xdr:nvPicPr>
      <xdr:blipFill>
        <a:blip xmlns:r="http://schemas.openxmlformats.org/officeDocument/2006/relationships" r:embed="rId133"/>
        <a:stretch/>
      </xdr:blipFill>
      <xdr:spPr>
        <a:xfrm>
          <a:off x="1758240" y="385871040"/>
          <a:ext cx="122184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234720</xdr:colOff>
      <xdr:row>1823</xdr:row>
      <xdr:rowOff>118440</xdr:rowOff>
    </xdr:from>
    <xdr:to>
      <xdr:col>0</xdr:col>
      <xdr:colOff>1374840</xdr:colOff>
      <xdr:row>1829</xdr:row>
      <xdr:rowOff>113400</xdr:rowOff>
    </xdr:to>
    <xdr:pic>
      <xdr:nvPicPr>
        <xdr:cNvPr id="153" name="Imagem 271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/>
      </xdr:nvPicPr>
      <xdr:blipFill>
        <a:blip xmlns:r="http://schemas.openxmlformats.org/officeDocument/2006/relationships" r:embed="rId134"/>
        <a:stretch/>
      </xdr:blipFill>
      <xdr:spPr>
        <a:xfrm>
          <a:off x="234720" y="387761040"/>
          <a:ext cx="1140120" cy="113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1234080</xdr:colOff>
      <xdr:row>1822</xdr:row>
      <xdr:rowOff>280800</xdr:rowOff>
    </xdr:from>
    <xdr:to>
      <xdr:col>0</xdr:col>
      <xdr:colOff>3334680</xdr:colOff>
      <xdr:row>1830</xdr:row>
      <xdr:rowOff>157680</xdr:rowOff>
    </xdr:to>
    <xdr:pic>
      <xdr:nvPicPr>
        <xdr:cNvPr id="154" name="Imagem 31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/>
      </xdr:nvPicPr>
      <xdr:blipFill>
        <a:blip xmlns:r="http://schemas.openxmlformats.org/officeDocument/2006/relationships" r:embed="rId135"/>
        <a:stretch/>
      </xdr:blipFill>
      <xdr:spPr>
        <a:xfrm>
          <a:off x="1234080" y="387553320"/>
          <a:ext cx="2100600" cy="1580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281880</xdr:colOff>
      <xdr:row>1832</xdr:row>
      <xdr:rowOff>167400</xdr:rowOff>
    </xdr:from>
    <xdr:to>
      <xdr:col>0</xdr:col>
      <xdr:colOff>1435680</xdr:colOff>
      <xdr:row>1838</xdr:row>
      <xdr:rowOff>61920</xdr:rowOff>
    </xdr:to>
    <xdr:pic>
      <xdr:nvPicPr>
        <xdr:cNvPr id="155" name="Imagem 280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/>
      </xdr:nvPicPr>
      <xdr:blipFill>
        <a:blip xmlns:r="http://schemas.openxmlformats.org/officeDocument/2006/relationships" r:embed="rId136"/>
        <a:stretch/>
      </xdr:blipFill>
      <xdr:spPr>
        <a:xfrm>
          <a:off x="281880" y="389704320"/>
          <a:ext cx="1153800" cy="1037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1785960</xdr:colOff>
      <xdr:row>1832</xdr:row>
      <xdr:rowOff>137160</xdr:rowOff>
    </xdr:from>
    <xdr:to>
      <xdr:col>0</xdr:col>
      <xdr:colOff>3007800</xdr:colOff>
      <xdr:row>1838</xdr:row>
      <xdr:rowOff>102960</xdr:rowOff>
    </xdr:to>
    <xdr:pic>
      <xdr:nvPicPr>
        <xdr:cNvPr id="156" name="Imagem 283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/>
      </xdr:nvPicPr>
      <xdr:blipFill>
        <a:blip xmlns:r="http://schemas.openxmlformats.org/officeDocument/2006/relationships" r:embed="rId137"/>
        <a:stretch/>
      </xdr:blipFill>
      <xdr:spPr>
        <a:xfrm>
          <a:off x="1785960" y="389674080"/>
          <a:ext cx="1221840" cy="1108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172440</xdr:colOff>
      <xdr:row>1859</xdr:row>
      <xdr:rowOff>160920</xdr:rowOff>
    </xdr:from>
    <xdr:to>
      <xdr:col>0</xdr:col>
      <xdr:colOff>1571040</xdr:colOff>
      <xdr:row>1865</xdr:row>
      <xdr:rowOff>161640</xdr:rowOff>
    </xdr:to>
    <xdr:pic>
      <xdr:nvPicPr>
        <xdr:cNvPr id="157" name="Imagem 289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/>
      </xdr:nvPicPr>
      <xdr:blipFill>
        <a:blip xmlns:r="http://schemas.openxmlformats.org/officeDocument/2006/relationships" r:embed="rId138"/>
        <a:stretch/>
      </xdr:blipFill>
      <xdr:spPr>
        <a:xfrm>
          <a:off x="172440" y="395380440"/>
          <a:ext cx="1398600" cy="1143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1837800</xdr:colOff>
      <xdr:row>1860</xdr:row>
      <xdr:rowOff>46080</xdr:rowOff>
    </xdr:from>
    <xdr:to>
      <xdr:col>0</xdr:col>
      <xdr:colOff>3189240</xdr:colOff>
      <xdr:row>1865</xdr:row>
      <xdr:rowOff>151920</xdr:rowOff>
    </xdr:to>
    <xdr:pic>
      <xdr:nvPicPr>
        <xdr:cNvPr id="158" name="Imagem 290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/>
      </xdr:nvPicPr>
      <xdr:blipFill>
        <a:blip xmlns:r="http://schemas.openxmlformats.org/officeDocument/2006/relationships" r:embed="rId139"/>
        <a:stretch/>
      </xdr:blipFill>
      <xdr:spPr>
        <a:xfrm>
          <a:off x="1837800" y="395456040"/>
          <a:ext cx="1351440" cy="1058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176760</xdr:colOff>
      <xdr:row>1250</xdr:row>
      <xdr:rowOff>127080</xdr:rowOff>
    </xdr:from>
    <xdr:to>
      <xdr:col>0</xdr:col>
      <xdr:colOff>1643400</xdr:colOff>
      <xdr:row>1258</xdr:row>
      <xdr:rowOff>6480</xdr:rowOff>
    </xdr:to>
    <xdr:pic>
      <xdr:nvPicPr>
        <xdr:cNvPr id="159" name="Imagem 291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/>
      </xdr:nvPicPr>
      <xdr:blipFill>
        <a:blip xmlns:r="http://schemas.openxmlformats.org/officeDocument/2006/relationships" r:embed="rId140"/>
        <a:stretch/>
      </xdr:blipFill>
      <xdr:spPr>
        <a:xfrm>
          <a:off x="176760" y="270258120"/>
          <a:ext cx="1466640" cy="1403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1782360</xdr:colOff>
      <xdr:row>1250</xdr:row>
      <xdr:rowOff>92160</xdr:rowOff>
    </xdr:from>
    <xdr:to>
      <xdr:col>0</xdr:col>
      <xdr:colOff>3182040</xdr:colOff>
      <xdr:row>1258</xdr:row>
      <xdr:rowOff>5040</xdr:rowOff>
    </xdr:to>
    <xdr:pic>
      <xdr:nvPicPr>
        <xdr:cNvPr id="160" name="Imagem 292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/>
      </xdr:nvPicPr>
      <xdr:blipFill>
        <a:blip xmlns:r="http://schemas.openxmlformats.org/officeDocument/2006/relationships" r:embed="rId141"/>
        <a:stretch/>
      </xdr:blipFill>
      <xdr:spPr>
        <a:xfrm>
          <a:off x="1782360" y="270223200"/>
          <a:ext cx="1399680" cy="1436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163440</xdr:colOff>
      <xdr:row>1880</xdr:row>
      <xdr:rowOff>23400</xdr:rowOff>
    </xdr:from>
    <xdr:to>
      <xdr:col>0</xdr:col>
      <xdr:colOff>1314720</xdr:colOff>
      <xdr:row>1885</xdr:row>
      <xdr:rowOff>40320</xdr:rowOff>
    </xdr:to>
    <xdr:pic>
      <xdr:nvPicPr>
        <xdr:cNvPr id="161" name="Imagem 295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/>
      </xdr:nvPicPr>
      <xdr:blipFill>
        <a:blip xmlns:r="http://schemas.openxmlformats.org/officeDocument/2006/relationships" r:embed="rId142"/>
        <a:stretch/>
      </xdr:blipFill>
      <xdr:spPr>
        <a:xfrm>
          <a:off x="163440" y="399602880"/>
          <a:ext cx="1151280" cy="969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1568880</xdr:colOff>
      <xdr:row>1880</xdr:row>
      <xdr:rowOff>58320</xdr:rowOff>
    </xdr:from>
    <xdr:to>
      <xdr:col>0</xdr:col>
      <xdr:colOff>3351240</xdr:colOff>
      <xdr:row>1886</xdr:row>
      <xdr:rowOff>68040</xdr:rowOff>
    </xdr:to>
    <xdr:pic>
      <xdr:nvPicPr>
        <xdr:cNvPr id="162" name="Imagem 296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/>
      </xdr:nvPicPr>
      <xdr:blipFill>
        <a:blip xmlns:r="http://schemas.openxmlformats.org/officeDocument/2006/relationships" r:embed="rId143"/>
        <a:stretch/>
      </xdr:blipFill>
      <xdr:spPr>
        <a:xfrm>
          <a:off x="1568880" y="399637800"/>
          <a:ext cx="1782360" cy="1152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1092600</xdr:colOff>
      <xdr:row>1889</xdr:row>
      <xdr:rowOff>85680</xdr:rowOff>
    </xdr:from>
    <xdr:to>
      <xdr:col>0</xdr:col>
      <xdr:colOff>2028600</xdr:colOff>
      <xdr:row>1894</xdr:row>
      <xdr:rowOff>108000</xdr:rowOff>
    </xdr:to>
    <xdr:pic>
      <xdr:nvPicPr>
        <xdr:cNvPr id="163" name="Imagem 299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/>
      </xdr:nvPicPr>
      <xdr:blipFill>
        <a:blip xmlns:r="http://schemas.openxmlformats.org/officeDocument/2006/relationships" r:embed="rId144"/>
        <a:stretch/>
      </xdr:blipFill>
      <xdr:spPr>
        <a:xfrm>
          <a:off x="1092600" y="401559480"/>
          <a:ext cx="936000" cy="974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562320</xdr:colOff>
      <xdr:row>1897</xdr:row>
      <xdr:rowOff>121680</xdr:rowOff>
    </xdr:from>
    <xdr:to>
      <xdr:col>0</xdr:col>
      <xdr:colOff>2559600</xdr:colOff>
      <xdr:row>1902</xdr:row>
      <xdr:rowOff>172080</xdr:rowOff>
    </xdr:to>
    <xdr:pic>
      <xdr:nvPicPr>
        <xdr:cNvPr id="164" name="Imagem 302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/>
      </xdr:nvPicPr>
      <xdr:blipFill>
        <a:blip xmlns:r="http://schemas.openxmlformats.org/officeDocument/2006/relationships" r:embed="rId145"/>
        <a:stretch/>
      </xdr:blipFill>
      <xdr:spPr>
        <a:xfrm>
          <a:off x="562320" y="403299000"/>
          <a:ext cx="1997280" cy="100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989640</xdr:colOff>
      <xdr:row>1906</xdr:row>
      <xdr:rowOff>26640</xdr:rowOff>
    </xdr:from>
    <xdr:to>
      <xdr:col>0</xdr:col>
      <xdr:colOff>2201760</xdr:colOff>
      <xdr:row>1911</xdr:row>
      <xdr:rowOff>142920</xdr:rowOff>
    </xdr:to>
    <xdr:pic>
      <xdr:nvPicPr>
        <xdr:cNvPr id="165" name="Imagem 304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/>
      </xdr:nvPicPr>
      <xdr:blipFill>
        <a:blip xmlns:r="http://schemas.openxmlformats.org/officeDocument/2006/relationships" r:embed="rId146"/>
        <a:stretch/>
      </xdr:blipFill>
      <xdr:spPr>
        <a:xfrm>
          <a:off x="989640" y="405098280"/>
          <a:ext cx="1212120" cy="1068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452160</xdr:colOff>
      <xdr:row>1499</xdr:row>
      <xdr:rowOff>348840</xdr:rowOff>
    </xdr:from>
    <xdr:to>
      <xdr:col>0</xdr:col>
      <xdr:colOff>2896920</xdr:colOff>
      <xdr:row>1505</xdr:row>
      <xdr:rowOff>1440</xdr:rowOff>
    </xdr:to>
    <xdr:pic>
      <xdr:nvPicPr>
        <xdr:cNvPr id="166" name="Imagem 16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/>
      </xdr:nvPicPr>
      <xdr:blipFill>
        <a:blip xmlns:r="http://schemas.openxmlformats.org/officeDocument/2006/relationships" r:embed="rId147"/>
        <a:stretch/>
      </xdr:blipFill>
      <xdr:spPr>
        <a:xfrm>
          <a:off x="452160" y="321553440"/>
          <a:ext cx="2444760" cy="1064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1290600</xdr:colOff>
      <xdr:row>1505</xdr:row>
      <xdr:rowOff>54720</xdr:rowOff>
    </xdr:from>
    <xdr:to>
      <xdr:col>0</xdr:col>
      <xdr:colOff>2885040</xdr:colOff>
      <xdr:row>1510</xdr:row>
      <xdr:rowOff>132840</xdr:rowOff>
    </xdr:to>
    <xdr:pic>
      <xdr:nvPicPr>
        <xdr:cNvPr id="167" name="Imagem 33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/>
      </xdr:nvPicPr>
      <xdr:blipFill>
        <a:blip xmlns:r="http://schemas.openxmlformats.org/officeDocument/2006/relationships" r:embed="rId148"/>
        <a:stretch/>
      </xdr:blipFill>
      <xdr:spPr>
        <a:xfrm>
          <a:off x="1290600" y="322671600"/>
          <a:ext cx="1594440" cy="109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210960</xdr:colOff>
      <xdr:row>1512</xdr:row>
      <xdr:rowOff>354600</xdr:rowOff>
    </xdr:from>
    <xdr:to>
      <xdr:col>0</xdr:col>
      <xdr:colOff>3252600</xdr:colOff>
      <xdr:row>1520</xdr:row>
      <xdr:rowOff>120960</xdr:rowOff>
    </xdr:to>
    <xdr:pic>
      <xdr:nvPicPr>
        <xdr:cNvPr id="168" name="Imagem 34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/>
      </xdr:nvPicPr>
      <xdr:blipFill>
        <a:blip xmlns:r="http://schemas.openxmlformats.org/officeDocument/2006/relationships" r:embed="rId149"/>
        <a:stretch/>
      </xdr:blipFill>
      <xdr:spPr>
        <a:xfrm>
          <a:off x="210960" y="324364680"/>
          <a:ext cx="3041640" cy="1619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1555</xdr:row>
      <xdr:rowOff>16200</xdr:rowOff>
    </xdr:from>
    <xdr:to>
      <xdr:col>0</xdr:col>
      <xdr:colOff>3416040</xdr:colOff>
      <xdr:row>1564</xdr:row>
      <xdr:rowOff>122040</xdr:rowOff>
    </xdr:to>
    <xdr:pic>
      <xdr:nvPicPr>
        <xdr:cNvPr id="169" name="Imagem 214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/>
      </xdr:nvPicPr>
      <xdr:blipFill>
        <a:blip xmlns:r="http://schemas.openxmlformats.org/officeDocument/2006/relationships" r:embed="rId150"/>
        <a:stretch/>
      </xdr:blipFill>
      <xdr:spPr>
        <a:xfrm>
          <a:off x="0" y="333085680"/>
          <a:ext cx="3416040" cy="1820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25200</xdr:colOff>
      <xdr:row>1565</xdr:row>
      <xdr:rowOff>169560</xdr:rowOff>
    </xdr:from>
    <xdr:to>
      <xdr:col>0</xdr:col>
      <xdr:colOff>3482475</xdr:colOff>
      <xdr:row>1573</xdr:row>
      <xdr:rowOff>159840</xdr:rowOff>
    </xdr:to>
    <xdr:pic>
      <xdr:nvPicPr>
        <xdr:cNvPr id="170" name="Imagem 216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/>
      </xdr:nvPicPr>
      <xdr:blipFill>
        <a:blip xmlns:r="http://schemas.openxmlformats.org/officeDocument/2006/relationships" r:embed="rId151"/>
        <a:stretch/>
      </xdr:blipFill>
      <xdr:spPr>
        <a:xfrm>
          <a:off x="25200" y="335144160"/>
          <a:ext cx="3466800" cy="1514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58680</xdr:colOff>
      <xdr:row>1626</xdr:row>
      <xdr:rowOff>2880</xdr:rowOff>
    </xdr:from>
    <xdr:to>
      <xdr:col>0</xdr:col>
      <xdr:colOff>2583720</xdr:colOff>
      <xdr:row>1634</xdr:row>
      <xdr:rowOff>178200</xdr:rowOff>
    </xdr:to>
    <xdr:pic>
      <xdr:nvPicPr>
        <xdr:cNvPr id="171" name="Imagem 43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/>
      </xdr:nvPicPr>
      <xdr:blipFill>
        <a:blip xmlns:r="http://schemas.openxmlformats.org/officeDocument/2006/relationships" r:embed="rId152"/>
        <a:stretch/>
      </xdr:blipFill>
      <xdr:spPr>
        <a:xfrm>
          <a:off x="58680" y="347316840"/>
          <a:ext cx="2525040" cy="1699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1689840</xdr:colOff>
      <xdr:row>1633</xdr:row>
      <xdr:rowOff>148680</xdr:rowOff>
    </xdr:from>
    <xdr:to>
      <xdr:col>1</xdr:col>
      <xdr:colOff>5366</xdr:colOff>
      <xdr:row>1640</xdr:row>
      <xdr:rowOff>137880</xdr:rowOff>
    </xdr:to>
    <xdr:pic>
      <xdr:nvPicPr>
        <xdr:cNvPr id="172" name="Imagem 46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/>
      </xdr:nvPicPr>
      <xdr:blipFill>
        <a:blip xmlns:r="http://schemas.openxmlformats.org/officeDocument/2006/relationships" r:embed="rId153"/>
        <a:stretch/>
      </xdr:blipFill>
      <xdr:spPr>
        <a:xfrm>
          <a:off x="1689840" y="348796080"/>
          <a:ext cx="1810080" cy="1322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196200</xdr:colOff>
      <xdr:row>1663</xdr:row>
      <xdr:rowOff>64080</xdr:rowOff>
    </xdr:from>
    <xdr:to>
      <xdr:col>0</xdr:col>
      <xdr:colOff>3254760</xdr:colOff>
      <xdr:row>1670</xdr:row>
      <xdr:rowOff>5400</xdr:rowOff>
    </xdr:to>
    <xdr:pic>
      <xdr:nvPicPr>
        <xdr:cNvPr id="173" name="Imagem 254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/>
      </xdr:nvPicPr>
      <xdr:blipFill>
        <a:blip xmlns:r="http://schemas.openxmlformats.org/officeDocument/2006/relationships" r:embed="rId154"/>
        <a:stretch/>
      </xdr:blipFill>
      <xdr:spPr>
        <a:xfrm>
          <a:off x="196200" y="354890520"/>
          <a:ext cx="3058560" cy="1275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359280</xdr:colOff>
      <xdr:row>1416</xdr:row>
      <xdr:rowOff>331560</xdr:rowOff>
    </xdr:from>
    <xdr:to>
      <xdr:col>0</xdr:col>
      <xdr:colOff>2900880</xdr:colOff>
      <xdr:row>1424</xdr:row>
      <xdr:rowOff>73800</xdr:rowOff>
    </xdr:to>
    <xdr:pic>
      <xdr:nvPicPr>
        <xdr:cNvPr id="174" name="Imagem 50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/>
      </xdr:nvPicPr>
      <xdr:blipFill>
        <a:blip xmlns:r="http://schemas.openxmlformats.org/officeDocument/2006/relationships" r:embed="rId155"/>
        <a:stretch/>
      </xdr:blipFill>
      <xdr:spPr>
        <a:xfrm>
          <a:off x="359280" y="304287120"/>
          <a:ext cx="2541600" cy="1445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382680</xdr:colOff>
      <xdr:row>1426</xdr:row>
      <xdr:rowOff>327960</xdr:rowOff>
    </xdr:from>
    <xdr:to>
      <xdr:col>0</xdr:col>
      <xdr:colOff>2869920</xdr:colOff>
      <xdr:row>1433</xdr:row>
      <xdr:rowOff>170280</xdr:rowOff>
    </xdr:to>
    <xdr:pic>
      <xdr:nvPicPr>
        <xdr:cNvPr id="175" name="Imagem 51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/>
      </xdr:nvPicPr>
      <xdr:blipFill>
        <a:blip xmlns:r="http://schemas.openxmlformats.org/officeDocument/2006/relationships" r:embed="rId156"/>
        <a:stretch/>
      </xdr:blipFill>
      <xdr:spPr>
        <a:xfrm>
          <a:off x="382680" y="306368280"/>
          <a:ext cx="2487240" cy="1355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121</xdr:row>
      <xdr:rowOff>103320</xdr:rowOff>
    </xdr:from>
    <xdr:to>
      <xdr:col>0</xdr:col>
      <xdr:colOff>3453480</xdr:colOff>
      <xdr:row>127</xdr:row>
      <xdr:rowOff>85680</xdr:rowOff>
    </xdr:to>
    <xdr:pic>
      <xdr:nvPicPr>
        <xdr:cNvPr id="176" name="Imagem 58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/>
      </xdr:nvPicPr>
      <xdr:blipFill>
        <a:blip xmlns:r="http://schemas.openxmlformats.org/officeDocument/2006/relationships" r:embed="rId157"/>
        <a:stretch/>
      </xdr:blipFill>
      <xdr:spPr>
        <a:xfrm>
          <a:off x="0" y="29178000"/>
          <a:ext cx="3453480" cy="1468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136080</xdr:colOff>
      <xdr:row>195</xdr:row>
      <xdr:rowOff>83880</xdr:rowOff>
    </xdr:from>
    <xdr:to>
      <xdr:col>0</xdr:col>
      <xdr:colOff>3262680</xdr:colOff>
      <xdr:row>201</xdr:row>
      <xdr:rowOff>137520</xdr:rowOff>
    </xdr:to>
    <xdr:pic>
      <xdr:nvPicPr>
        <xdr:cNvPr id="177" name="Imagem 59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/>
      </xdr:nvPicPr>
      <xdr:blipFill>
        <a:blip xmlns:r="http://schemas.openxmlformats.org/officeDocument/2006/relationships" r:embed="rId158"/>
        <a:stretch/>
      </xdr:blipFill>
      <xdr:spPr>
        <a:xfrm>
          <a:off x="136080" y="47655000"/>
          <a:ext cx="3126600" cy="1539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281</xdr:row>
      <xdr:rowOff>88920</xdr:rowOff>
    </xdr:from>
    <xdr:to>
      <xdr:col>0</xdr:col>
      <xdr:colOff>3390120</xdr:colOff>
      <xdr:row>286</xdr:row>
      <xdr:rowOff>86400</xdr:rowOff>
    </xdr:to>
    <xdr:pic>
      <xdr:nvPicPr>
        <xdr:cNvPr id="178" name="Imagem 60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/>
      </xdr:nvPicPr>
      <xdr:blipFill>
        <a:blip xmlns:r="http://schemas.openxmlformats.org/officeDocument/2006/relationships" r:embed="rId159"/>
        <a:stretch/>
      </xdr:blipFill>
      <xdr:spPr>
        <a:xfrm>
          <a:off x="0" y="69071040"/>
          <a:ext cx="3390120" cy="1235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328</xdr:row>
      <xdr:rowOff>12960</xdr:rowOff>
    </xdr:from>
    <xdr:to>
      <xdr:col>0</xdr:col>
      <xdr:colOff>3398760</xdr:colOff>
      <xdr:row>333</xdr:row>
      <xdr:rowOff>141840</xdr:rowOff>
    </xdr:to>
    <xdr:pic>
      <xdr:nvPicPr>
        <xdr:cNvPr id="179" name="Imagem 61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/>
      </xdr:nvPicPr>
      <xdr:blipFill>
        <a:blip xmlns:r="http://schemas.openxmlformats.org/officeDocument/2006/relationships" r:embed="rId160"/>
        <a:stretch/>
      </xdr:blipFill>
      <xdr:spPr>
        <a:xfrm>
          <a:off x="0" y="80699760"/>
          <a:ext cx="3398760" cy="1367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1113120</xdr:colOff>
      <xdr:row>1787</xdr:row>
      <xdr:rowOff>331560</xdr:rowOff>
    </xdr:from>
    <xdr:to>
      <xdr:col>1</xdr:col>
      <xdr:colOff>261000</xdr:colOff>
      <xdr:row>1795</xdr:row>
      <xdr:rowOff>113400</xdr:rowOff>
    </xdr:to>
    <xdr:pic>
      <xdr:nvPicPr>
        <xdr:cNvPr id="180" name="Imagem 29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/>
      </xdr:nvPicPr>
      <xdr:blipFill>
        <a:blip xmlns:r="http://schemas.openxmlformats.org/officeDocument/2006/relationships" r:embed="rId161"/>
        <a:stretch/>
      </xdr:blipFill>
      <xdr:spPr>
        <a:xfrm>
          <a:off x="1113120" y="380217600"/>
          <a:ext cx="2833560" cy="1485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122760</xdr:colOff>
      <xdr:row>1788</xdr:row>
      <xdr:rowOff>187920</xdr:rowOff>
    </xdr:from>
    <xdr:to>
      <xdr:col>0</xdr:col>
      <xdr:colOff>2030400</xdr:colOff>
      <xdr:row>1794</xdr:row>
      <xdr:rowOff>117360</xdr:rowOff>
    </xdr:to>
    <xdr:pic>
      <xdr:nvPicPr>
        <xdr:cNvPr id="181" name="Imagem 35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/>
      </xdr:nvPicPr>
      <xdr:blipFill>
        <a:blip xmlns:r="http://schemas.openxmlformats.org/officeDocument/2006/relationships" r:embed="rId162"/>
        <a:stretch/>
      </xdr:blipFill>
      <xdr:spPr>
        <a:xfrm rot="20449800">
          <a:off x="122760" y="380444040"/>
          <a:ext cx="1907640" cy="1072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380880</xdr:colOff>
      <xdr:row>889</xdr:row>
      <xdr:rowOff>174960</xdr:rowOff>
    </xdr:from>
    <xdr:to>
      <xdr:col>0</xdr:col>
      <xdr:colOff>3112920</xdr:colOff>
      <xdr:row>901</xdr:row>
      <xdr:rowOff>36000</xdr:rowOff>
    </xdr:to>
    <xdr:pic>
      <xdr:nvPicPr>
        <xdr:cNvPr id="182" name="image9.png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/>
      </xdr:nvPicPr>
      <xdr:blipFill>
        <a:blip xmlns:r="http://schemas.openxmlformats.org/officeDocument/2006/relationships" r:embed="rId163"/>
        <a:stretch/>
      </xdr:blipFill>
      <xdr:spPr>
        <a:xfrm>
          <a:off x="380880" y="199049400"/>
          <a:ext cx="2732040" cy="214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639360</xdr:colOff>
      <xdr:row>857</xdr:row>
      <xdr:rowOff>33480</xdr:rowOff>
    </xdr:from>
    <xdr:to>
      <xdr:col>0</xdr:col>
      <xdr:colOff>2949840</xdr:colOff>
      <xdr:row>867</xdr:row>
      <xdr:rowOff>43920</xdr:rowOff>
    </xdr:to>
    <xdr:pic>
      <xdr:nvPicPr>
        <xdr:cNvPr id="183" name="image8.png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/>
      </xdr:nvPicPr>
      <xdr:blipFill>
        <a:blip xmlns:r="http://schemas.openxmlformats.org/officeDocument/2006/relationships" r:embed="rId164"/>
        <a:stretch/>
      </xdr:blipFill>
      <xdr:spPr>
        <a:xfrm>
          <a:off x="639360" y="192452400"/>
          <a:ext cx="2310480" cy="1915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1647</xdr:row>
      <xdr:rowOff>189000</xdr:rowOff>
    </xdr:from>
    <xdr:to>
      <xdr:col>0</xdr:col>
      <xdr:colOff>3314160</xdr:colOff>
      <xdr:row>1657</xdr:row>
      <xdr:rowOff>112320</xdr:rowOff>
    </xdr:to>
    <xdr:pic>
      <xdr:nvPicPr>
        <xdr:cNvPr id="184" name="Imagem 6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/>
      </xdr:nvPicPr>
      <xdr:blipFill>
        <a:blip xmlns:r="http://schemas.openxmlformats.org/officeDocument/2006/relationships" r:embed="rId165"/>
        <a:stretch/>
      </xdr:blipFill>
      <xdr:spPr>
        <a:xfrm>
          <a:off x="0" y="351682920"/>
          <a:ext cx="3314160" cy="1828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934560</xdr:colOff>
      <xdr:row>1868</xdr:row>
      <xdr:rowOff>51120</xdr:rowOff>
    </xdr:from>
    <xdr:to>
      <xdr:col>0</xdr:col>
      <xdr:colOff>2066040</xdr:colOff>
      <xdr:row>1876</xdr:row>
      <xdr:rowOff>14760</xdr:rowOff>
    </xdr:to>
    <xdr:pic>
      <xdr:nvPicPr>
        <xdr:cNvPr id="185" name="Imagem 8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/>
      </xdr:nvPicPr>
      <xdr:blipFill>
        <a:blip xmlns:r="http://schemas.openxmlformats.org/officeDocument/2006/relationships" r:embed="rId166"/>
        <a:stretch/>
      </xdr:blipFill>
      <xdr:spPr>
        <a:xfrm>
          <a:off x="934560" y="397164960"/>
          <a:ext cx="1131480" cy="1487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53640</xdr:colOff>
      <xdr:row>1290</xdr:row>
      <xdr:rowOff>152640</xdr:rowOff>
    </xdr:from>
    <xdr:to>
      <xdr:col>0</xdr:col>
      <xdr:colOff>3330000</xdr:colOff>
      <xdr:row>1297</xdr:row>
      <xdr:rowOff>63000</xdr:rowOff>
    </xdr:to>
    <xdr:sp macro="" textlink="">
      <xdr:nvSpPr>
        <xdr:cNvPr id="186" name="Figura 1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SpPr/>
      </xdr:nvSpPr>
      <xdr:spPr>
        <a:xfrm rot="21418800">
          <a:off x="53280" y="278667000"/>
          <a:ext cx="3276360" cy="1243800"/>
        </a:xfrm>
        <a:prstGeom prst="rect">
          <a:avLst/>
        </a:prstGeom>
        <a:blipFill rotWithShape="0">
          <a:blip xmlns:r="http://schemas.openxmlformats.org/officeDocument/2006/relationships" r:embed="rId88"/>
          <a:srcRect/>
          <a:stretch/>
        </a:blipFill>
        <a:ln w="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 anchor="t" anchorCtr="1">
          <a:noAutofit/>
        </a:bodyPr>
        <a:lstStyle/>
        <a:p>
          <a:pPr>
            <a:lnSpc>
              <a:spcPct val="100000"/>
            </a:lnSpc>
          </a:pPr>
          <a:r>
            <a:rPr lang="pt-BR" sz="1800" b="0" u="none" strike="noStrike">
              <a:solidFill>
                <a:srgbClr val="000000"/>
              </a:solidFill>
              <a:effectLst/>
              <a:uFillTx/>
              <a:latin typeface="Times New Roman"/>
              <a:ea typeface="Calibri"/>
            </a:rPr>
            <a:t>  </a:t>
          </a:r>
          <a:endParaRPr lang="pt-BR" sz="1800" b="0" u="none" strike="noStrike">
            <a:effectLst/>
            <a:uFillTx/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3389400</xdr:colOff>
      <xdr:row>638</xdr:row>
      <xdr:rowOff>207720</xdr:rowOff>
    </xdr:from>
    <xdr:to>
      <xdr:col>2</xdr:col>
      <xdr:colOff>4939245</xdr:colOff>
      <xdr:row>640</xdr:row>
      <xdr:rowOff>99930</xdr:rowOff>
    </xdr:to>
    <xdr:pic>
      <xdr:nvPicPr>
        <xdr:cNvPr id="2" name="image11.jpg">
          <a:extLst>
            <a:ext uri="{FF2B5EF4-FFF2-40B4-BE49-F238E27FC236}">
              <a16:creationId xmlns:a16="http://schemas.microsoft.com/office/drawing/2014/main" id="{865EC915-B044-418A-BC0C-CFF01EB1D945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6875550" y="59862795"/>
          <a:ext cx="321120" cy="292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2940480</xdr:colOff>
      <xdr:row>580</xdr:row>
      <xdr:rowOff>223920</xdr:rowOff>
    </xdr:from>
    <xdr:to>
      <xdr:col>2</xdr:col>
      <xdr:colOff>5023680</xdr:colOff>
      <xdr:row>582</xdr:row>
      <xdr:rowOff>173400</xdr:rowOff>
    </xdr:to>
    <xdr:pic>
      <xdr:nvPicPr>
        <xdr:cNvPr id="3" name="image10.jpg">
          <a:extLst>
            <a:ext uri="{FF2B5EF4-FFF2-40B4-BE49-F238E27FC236}">
              <a16:creationId xmlns:a16="http://schemas.microsoft.com/office/drawing/2014/main" id="{7773AE69-79CA-44AD-B883-85CFDE9BD4E7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6426630" y="92397345"/>
          <a:ext cx="406800" cy="368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4476600</xdr:colOff>
      <xdr:row>686</xdr:row>
      <xdr:rowOff>46080</xdr:rowOff>
    </xdr:from>
    <xdr:to>
      <xdr:col>2</xdr:col>
      <xdr:colOff>4759620</xdr:colOff>
      <xdr:row>687</xdr:row>
      <xdr:rowOff>138510</xdr:rowOff>
    </xdr:to>
    <xdr:pic>
      <xdr:nvPicPr>
        <xdr:cNvPr id="4" name="image10.jpg">
          <a:extLst>
            <a:ext uri="{FF2B5EF4-FFF2-40B4-BE49-F238E27FC236}">
              <a16:creationId xmlns:a16="http://schemas.microsoft.com/office/drawing/2014/main" id="{EC56F287-E598-420F-B1B6-C5C92C79292B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962750" y="18667455"/>
          <a:ext cx="140145" cy="2829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3650760</xdr:colOff>
      <xdr:row>245</xdr:row>
      <xdr:rowOff>136440</xdr:rowOff>
    </xdr:from>
    <xdr:to>
      <xdr:col>2</xdr:col>
      <xdr:colOff>4943430</xdr:colOff>
      <xdr:row>247</xdr:row>
      <xdr:rowOff>38730</xdr:rowOff>
    </xdr:to>
    <xdr:pic>
      <xdr:nvPicPr>
        <xdr:cNvPr id="5" name="image10.jpg">
          <a:extLst>
            <a:ext uri="{FF2B5EF4-FFF2-40B4-BE49-F238E27FC236}">
              <a16:creationId xmlns:a16="http://schemas.microsoft.com/office/drawing/2014/main" id="{34181CBD-5046-450A-9EF1-030E9C1B3841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136910" y="108121365"/>
          <a:ext cx="321120" cy="283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421920</xdr:colOff>
      <xdr:row>1278</xdr:row>
      <xdr:rowOff>147240</xdr:rowOff>
    </xdr:from>
    <xdr:to>
      <xdr:col>5</xdr:col>
      <xdr:colOff>25170</xdr:colOff>
      <xdr:row>1290</xdr:row>
      <xdr:rowOff>157080</xdr:rowOff>
    </xdr:to>
    <xdr:pic>
      <xdr:nvPicPr>
        <xdr:cNvPr id="6" name="Imagem 15">
          <a:extLst>
            <a:ext uri="{FF2B5EF4-FFF2-40B4-BE49-F238E27FC236}">
              <a16:creationId xmlns:a16="http://schemas.microsoft.com/office/drawing/2014/main" id="{A4BA1C52-8CF9-41B6-840F-FED69E26FEE3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421920" y="274543440"/>
          <a:ext cx="3070350" cy="2295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183960</xdr:colOff>
      <xdr:row>1723</xdr:row>
      <xdr:rowOff>54720</xdr:rowOff>
    </xdr:from>
    <xdr:to>
      <xdr:col>5</xdr:col>
      <xdr:colOff>23160</xdr:colOff>
      <xdr:row>1731</xdr:row>
      <xdr:rowOff>152280</xdr:rowOff>
    </xdr:to>
    <xdr:pic>
      <xdr:nvPicPr>
        <xdr:cNvPr id="7" name="Imagem 220">
          <a:extLst>
            <a:ext uri="{FF2B5EF4-FFF2-40B4-BE49-F238E27FC236}">
              <a16:creationId xmlns:a16="http://schemas.microsoft.com/office/drawing/2014/main" id="{76F2A1A4-93F9-4CA4-8441-ECF148AB247C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183960" y="365633745"/>
          <a:ext cx="3306300" cy="162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1689840</xdr:colOff>
      <xdr:row>1639</xdr:row>
      <xdr:rowOff>148680</xdr:rowOff>
    </xdr:from>
    <xdr:to>
      <xdr:col>3</xdr:col>
      <xdr:colOff>80445</xdr:colOff>
      <xdr:row>1646</xdr:row>
      <xdr:rowOff>137880</xdr:rowOff>
    </xdr:to>
    <xdr:pic>
      <xdr:nvPicPr>
        <xdr:cNvPr id="8" name="Imagem 46">
          <a:extLst>
            <a:ext uri="{FF2B5EF4-FFF2-40B4-BE49-F238E27FC236}">
              <a16:creationId xmlns:a16="http://schemas.microsoft.com/office/drawing/2014/main" id="{6CCAB727-BEB2-4B1D-8D79-DCB77C1C778C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1689840" y="348592230"/>
          <a:ext cx="1800555" cy="1322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1113120</xdr:colOff>
      <xdr:row>1793</xdr:row>
      <xdr:rowOff>331560</xdr:rowOff>
    </xdr:from>
    <xdr:to>
      <xdr:col>4</xdr:col>
      <xdr:colOff>327675</xdr:colOff>
      <xdr:row>1801</xdr:row>
      <xdr:rowOff>141975</xdr:rowOff>
    </xdr:to>
    <xdr:pic>
      <xdr:nvPicPr>
        <xdr:cNvPr id="9" name="Imagem 29">
          <a:extLst>
            <a:ext uri="{FF2B5EF4-FFF2-40B4-BE49-F238E27FC236}">
              <a16:creationId xmlns:a16="http://schemas.microsoft.com/office/drawing/2014/main" id="{8AF43A20-0F8C-472C-B1B4-48E785BAADE3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1113120" y="379931385"/>
          <a:ext cx="2634030" cy="1477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117</xdr:row>
      <xdr:rowOff>138600</xdr:rowOff>
    </xdr:from>
    <xdr:to>
      <xdr:col>23</xdr:col>
      <xdr:colOff>537465</xdr:colOff>
      <xdr:row>125</xdr:row>
      <xdr:rowOff>34980</xdr:rowOff>
    </xdr:to>
    <xdr:pic>
      <xdr:nvPicPr>
        <xdr:cNvPr id="16" name="image20.jpg">
          <a:extLst>
            <a:ext uri="{FF2B5EF4-FFF2-40B4-BE49-F238E27FC236}">
              <a16:creationId xmlns:a16="http://schemas.microsoft.com/office/drawing/2014/main" id="{F74FA6F6-D628-45F4-B708-39A87FB95BE5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0" y="25960875"/>
          <a:ext cx="3385440" cy="14203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366</xdr:row>
      <xdr:rowOff>104040</xdr:rowOff>
    </xdr:from>
    <xdr:to>
      <xdr:col>23</xdr:col>
      <xdr:colOff>559065</xdr:colOff>
      <xdr:row>376</xdr:row>
      <xdr:rowOff>82320</xdr:rowOff>
    </xdr:to>
    <xdr:pic>
      <xdr:nvPicPr>
        <xdr:cNvPr id="17" name="image24.jpg">
          <a:extLst>
            <a:ext uri="{FF2B5EF4-FFF2-40B4-BE49-F238E27FC236}">
              <a16:creationId xmlns:a16="http://schemas.microsoft.com/office/drawing/2014/main" id="{051C6AB3-E9D8-474F-824A-192C7C7E6A83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38160" y="88905615"/>
          <a:ext cx="3368880" cy="1883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57240</xdr:colOff>
      <xdr:row>377</xdr:row>
      <xdr:rowOff>151920</xdr:rowOff>
    </xdr:from>
    <xdr:to>
      <xdr:col>23</xdr:col>
      <xdr:colOff>530625</xdr:colOff>
      <xdr:row>387</xdr:row>
      <xdr:rowOff>101400</xdr:rowOff>
    </xdr:to>
    <xdr:pic>
      <xdr:nvPicPr>
        <xdr:cNvPr id="18" name="image27.jpg">
          <a:extLst>
            <a:ext uri="{FF2B5EF4-FFF2-40B4-BE49-F238E27FC236}">
              <a16:creationId xmlns:a16="http://schemas.microsoft.com/office/drawing/2014/main" id="{56605683-F77B-44A6-9D86-C6554E501802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>
        <a:xfrm>
          <a:off x="57240" y="91830045"/>
          <a:ext cx="3321360" cy="1854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76320</xdr:colOff>
      <xdr:row>230</xdr:row>
      <xdr:rowOff>54000</xdr:rowOff>
    </xdr:from>
    <xdr:to>
      <xdr:col>24</xdr:col>
      <xdr:colOff>16200</xdr:colOff>
      <xdr:row>241</xdr:row>
      <xdr:rowOff>41580</xdr:rowOff>
    </xdr:to>
    <xdr:pic>
      <xdr:nvPicPr>
        <xdr:cNvPr id="19" name="image17.jpg">
          <a:extLst>
            <a:ext uri="{FF2B5EF4-FFF2-40B4-BE49-F238E27FC236}">
              <a16:creationId xmlns:a16="http://schemas.microsoft.com/office/drawing/2014/main" id="{BEC1EE35-E3DA-4926-AC7E-12D1C6BB8F0D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>
        <a:xfrm>
          <a:off x="76320" y="54756075"/>
          <a:ext cx="3368880" cy="2083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319</xdr:row>
      <xdr:rowOff>104040</xdr:rowOff>
    </xdr:from>
    <xdr:to>
      <xdr:col>24</xdr:col>
      <xdr:colOff>6480</xdr:colOff>
      <xdr:row>324</xdr:row>
      <xdr:rowOff>129900</xdr:rowOff>
    </xdr:to>
    <xdr:pic>
      <xdr:nvPicPr>
        <xdr:cNvPr id="22" name="image23.jpg">
          <a:extLst>
            <a:ext uri="{FF2B5EF4-FFF2-40B4-BE49-F238E27FC236}">
              <a16:creationId xmlns:a16="http://schemas.microsoft.com/office/drawing/2014/main" id="{56898970-D0A5-4812-A36B-527300FC2976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>
        <a:xfrm>
          <a:off x="9360" y="77018415"/>
          <a:ext cx="3426120" cy="978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183</xdr:row>
      <xdr:rowOff>138240</xdr:rowOff>
    </xdr:from>
    <xdr:to>
      <xdr:col>24</xdr:col>
      <xdr:colOff>54195</xdr:colOff>
      <xdr:row>192</xdr:row>
      <xdr:rowOff>39930</xdr:rowOff>
    </xdr:to>
    <xdr:pic>
      <xdr:nvPicPr>
        <xdr:cNvPr id="23" name="image32.jpg">
          <a:extLst>
            <a:ext uri="{FF2B5EF4-FFF2-40B4-BE49-F238E27FC236}">
              <a16:creationId xmlns:a16="http://schemas.microsoft.com/office/drawing/2014/main" id="{2D95FFA5-87C9-4640-8861-C9147E25D68E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>
        <a:xfrm>
          <a:off x="9360" y="43210290"/>
          <a:ext cx="3473835" cy="16161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268</xdr:row>
      <xdr:rowOff>48600</xdr:rowOff>
    </xdr:from>
    <xdr:to>
      <xdr:col>23</xdr:col>
      <xdr:colOff>539985</xdr:colOff>
      <xdr:row>278</xdr:row>
      <xdr:rowOff>45630</xdr:rowOff>
    </xdr:to>
    <xdr:pic>
      <xdr:nvPicPr>
        <xdr:cNvPr id="24" name="image31.jpg">
          <a:extLst>
            <a:ext uri="{FF2B5EF4-FFF2-40B4-BE49-F238E27FC236}">
              <a16:creationId xmlns:a16="http://schemas.microsoft.com/office/drawing/2014/main" id="{3B3FC1A8-A483-4AF3-86BE-CF5D72C9FC96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>
        <a:xfrm>
          <a:off x="9360" y="64275675"/>
          <a:ext cx="3378600" cy="19020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95400</xdr:colOff>
      <xdr:row>391</xdr:row>
      <xdr:rowOff>720</xdr:rowOff>
    </xdr:from>
    <xdr:to>
      <xdr:col>23</xdr:col>
      <xdr:colOff>454305</xdr:colOff>
      <xdr:row>399</xdr:row>
      <xdr:rowOff>64500</xdr:rowOff>
    </xdr:to>
    <xdr:pic>
      <xdr:nvPicPr>
        <xdr:cNvPr id="25" name="image37.jpg">
          <a:extLst>
            <a:ext uri="{FF2B5EF4-FFF2-40B4-BE49-F238E27FC236}">
              <a16:creationId xmlns:a16="http://schemas.microsoft.com/office/drawing/2014/main" id="{7A4005FC-F90B-4031-9B05-9655FA8E2204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>
        <a:xfrm>
          <a:off x="95400" y="95260245"/>
          <a:ext cx="3206880" cy="1587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460</xdr:row>
      <xdr:rowOff>68400</xdr:rowOff>
    </xdr:from>
    <xdr:to>
      <xdr:col>23</xdr:col>
      <xdr:colOff>523785</xdr:colOff>
      <xdr:row>465</xdr:row>
      <xdr:rowOff>167760</xdr:rowOff>
    </xdr:to>
    <xdr:pic>
      <xdr:nvPicPr>
        <xdr:cNvPr id="26" name="image48.jpg">
          <a:extLst>
            <a:ext uri="{FF2B5EF4-FFF2-40B4-BE49-F238E27FC236}">
              <a16:creationId xmlns:a16="http://schemas.microsoft.com/office/drawing/2014/main" id="{893B51E2-4A7C-4404-94A0-0E54B6C384DC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0" y="112168125"/>
          <a:ext cx="3371760" cy="1051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473</xdr:row>
      <xdr:rowOff>87480</xdr:rowOff>
    </xdr:from>
    <xdr:to>
      <xdr:col>23</xdr:col>
      <xdr:colOff>482745</xdr:colOff>
      <xdr:row>481</xdr:row>
      <xdr:rowOff>181440</xdr:rowOff>
    </xdr:to>
    <xdr:pic>
      <xdr:nvPicPr>
        <xdr:cNvPr id="27" name="image55.jpg">
          <a:extLst>
            <a:ext uri="{FF2B5EF4-FFF2-40B4-BE49-F238E27FC236}">
              <a16:creationId xmlns:a16="http://schemas.microsoft.com/office/drawing/2014/main" id="{1A8B8640-DCE9-4F12-A644-4882DC8A3EB8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>
          <a:off x="0" y="114663705"/>
          <a:ext cx="3330720" cy="161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32760</xdr:colOff>
      <xdr:row>506</xdr:row>
      <xdr:rowOff>296280</xdr:rowOff>
    </xdr:from>
    <xdr:to>
      <xdr:col>23</xdr:col>
      <xdr:colOff>510105</xdr:colOff>
      <xdr:row>514</xdr:row>
      <xdr:rowOff>163095</xdr:rowOff>
    </xdr:to>
    <xdr:pic>
      <xdr:nvPicPr>
        <xdr:cNvPr id="28" name="image34.jpg">
          <a:extLst>
            <a:ext uri="{FF2B5EF4-FFF2-40B4-BE49-F238E27FC236}">
              <a16:creationId xmlns:a16="http://schemas.microsoft.com/office/drawing/2014/main" id="{C820A62E-7A64-475A-874A-CA57134D1C1F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>
        <a:xfrm>
          <a:off x="32760" y="121568580"/>
          <a:ext cx="3325320" cy="14955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601920</xdr:colOff>
      <xdr:row>520</xdr:row>
      <xdr:rowOff>42120</xdr:rowOff>
    </xdr:from>
    <xdr:to>
      <xdr:col>22</xdr:col>
      <xdr:colOff>1170405</xdr:colOff>
      <xdr:row>528</xdr:row>
      <xdr:rowOff>82440</xdr:rowOff>
    </xdr:to>
    <xdr:pic>
      <xdr:nvPicPr>
        <xdr:cNvPr id="29" name="image46.jpg">
          <a:extLst>
            <a:ext uri="{FF2B5EF4-FFF2-40B4-BE49-F238E27FC236}">
              <a16:creationId xmlns:a16="http://schemas.microsoft.com/office/drawing/2014/main" id="{AFB94B70-96BD-406B-AE7C-9E879F1AB530}"/>
            </a:ext>
          </a:extLst>
        </xdr:cNvPr>
        <xdr:cNvPicPr/>
      </xdr:nvPicPr>
      <xdr:blipFill>
        <a:blip xmlns:r="http://schemas.openxmlformats.org/officeDocument/2006/relationships" r:embed="rId18"/>
        <a:stretch/>
      </xdr:blipFill>
      <xdr:spPr>
        <a:xfrm>
          <a:off x="601920" y="124400520"/>
          <a:ext cx="1854360" cy="1564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414720</xdr:colOff>
      <xdr:row>532</xdr:row>
      <xdr:rowOff>89640</xdr:rowOff>
    </xdr:from>
    <xdr:to>
      <xdr:col>23</xdr:col>
      <xdr:colOff>2505</xdr:colOff>
      <xdr:row>538</xdr:row>
      <xdr:rowOff>103680</xdr:rowOff>
    </xdr:to>
    <xdr:pic>
      <xdr:nvPicPr>
        <xdr:cNvPr id="30" name="image40.jpg">
          <a:extLst>
            <a:ext uri="{FF2B5EF4-FFF2-40B4-BE49-F238E27FC236}">
              <a16:creationId xmlns:a16="http://schemas.microsoft.com/office/drawing/2014/main" id="{7F18313E-A254-4EB9-A106-1995466977DD}"/>
            </a:ext>
          </a:extLst>
        </xdr:cNvPr>
        <xdr:cNvPicPr/>
      </xdr:nvPicPr>
      <xdr:blipFill>
        <a:blip xmlns:r="http://schemas.openxmlformats.org/officeDocument/2006/relationships" r:embed="rId19"/>
        <a:stretch/>
      </xdr:blipFill>
      <xdr:spPr>
        <a:xfrm>
          <a:off x="414720" y="126943590"/>
          <a:ext cx="2435760" cy="115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407</xdr:row>
      <xdr:rowOff>57960</xdr:rowOff>
    </xdr:from>
    <xdr:to>
      <xdr:col>24</xdr:col>
      <xdr:colOff>54450</xdr:colOff>
      <xdr:row>413</xdr:row>
      <xdr:rowOff>150330</xdr:rowOff>
    </xdr:to>
    <xdr:pic>
      <xdr:nvPicPr>
        <xdr:cNvPr id="31" name="image60.jpg">
          <a:extLst>
            <a:ext uri="{FF2B5EF4-FFF2-40B4-BE49-F238E27FC236}">
              <a16:creationId xmlns:a16="http://schemas.microsoft.com/office/drawing/2014/main" id="{CA04F40A-A1B5-4CDA-A7A1-B43A2CAA74B9}"/>
            </a:ext>
          </a:extLst>
        </xdr:cNvPr>
        <xdr:cNvPicPr/>
      </xdr:nvPicPr>
      <xdr:blipFill>
        <a:blip xmlns:r="http://schemas.openxmlformats.org/officeDocument/2006/relationships" r:embed="rId20"/>
        <a:stretch/>
      </xdr:blipFill>
      <xdr:spPr>
        <a:xfrm>
          <a:off x="0" y="99375135"/>
          <a:ext cx="3483450" cy="12353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417</xdr:row>
      <xdr:rowOff>169200</xdr:rowOff>
    </xdr:from>
    <xdr:to>
      <xdr:col>24</xdr:col>
      <xdr:colOff>15840</xdr:colOff>
      <xdr:row>426</xdr:row>
      <xdr:rowOff>128490</xdr:rowOff>
    </xdr:to>
    <xdr:pic>
      <xdr:nvPicPr>
        <xdr:cNvPr id="32" name="image50.png">
          <a:extLst>
            <a:ext uri="{FF2B5EF4-FFF2-40B4-BE49-F238E27FC236}">
              <a16:creationId xmlns:a16="http://schemas.microsoft.com/office/drawing/2014/main" id="{51D7CFC3-855C-49D7-9ABF-1530DAFFA6FC}"/>
            </a:ext>
          </a:extLst>
        </xdr:cNvPr>
        <xdr:cNvPicPr/>
      </xdr:nvPicPr>
      <xdr:blipFill>
        <a:blip xmlns:r="http://schemas.openxmlformats.org/officeDocument/2006/relationships" r:embed="rId21"/>
        <a:stretch/>
      </xdr:blipFill>
      <xdr:spPr>
        <a:xfrm>
          <a:off x="9360" y="101962875"/>
          <a:ext cx="3435480" cy="16737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719640</xdr:colOff>
      <xdr:row>428</xdr:row>
      <xdr:rowOff>156960</xdr:rowOff>
    </xdr:from>
    <xdr:to>
      <xdr:col>22</xdr:col>
      <xdr:colOff>1421700</xdr:colOff>
      <xdr:row>442</xdr:row>
      <xdr:rowOff>49260</xdr:rowOff>
    </xdr:to>
    <xdr:pic>
      <xdr:nvPicPr>
        <xdr:cNvPr id="33" name="image62.png">
          <a:extLst>
            <a:ext uri="{FF2B5EF4-FFF2-40B4-BE49-F238E27FC236}">
              <a16:creationId xmlns:a16="http://schemas.microsoft.com/office/drawing/2014/main" id="{AFA3D007-D38E-4674-8E19-58585A85C51E}"/>
            </a:ext>
          </a:extLst>
        </xdr:cNvPr>
        <xdr:cNvPicPr/>
      </xdr:nvPicPr>
      <xdr:blipFill>
        <a:blip xmlns:r="http://schemas.openxmlformats.org/officeDocument/2006/relationships" r:embed="rId22"/>
        <a:stretch/>
      </xdr:blipFill>
      <xdr:spPr>
        <a:xfrm>
          <a:off x="719640" y="104674785"/>
          <a:ext cx="2111760" cy="25593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579600</xdr:colOff>
      <xdr:row>542</xdr:row>
      <xdr:rowOff>138600</xdr:rowOff>
    </xdr:from>
    <xdr:to>
      <xdr:col>23</xdr:col>
      <xdr:colOff>182865</xdr:colOff>
      <xdr:row>547</xdr:row>
      <xdr:rowOff>166320</xdr:rowOff>
    </xdr:to>
    <xdr:pic>
      <xdr:nvPicPr>
        <xdr:cNvPr id="34" name="image65.jpg">
          <a:extLst>
            <a:ext uri="{FF2B5EF4-FFF2-40B4-BE49-F238E27FC236}">
              <a16:creationId xmlns:a16="http://schemas.microsoft.com/office/drawing/2014/main" id="{F94C15F6-2443-4B1A-A490-DEBBEEE88609}"/>
            </a:ext>
          </a:extLst>
        </xdr:cNvPr>
        <xdr:cNvPicPr/>
      </xdr:nvPicPr>
      <xdr:blipFill>
        <a:blip xmlns:r="http://schemas.openxmlformats.org/officeDocument/2006/relationships" r:embed="rId23"/>
        <a:stretch/>
      </xdr:blipFill>
      <xdr:spPr>
        <a:xfrm>
          <a:off x="579600" y="129069000"/>
          <a:ext cx="2451240" cy="980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943200</xdr:colOff>
      <xdr:row>548</xdr:row>
      <xdr:rowOff>169920</xdr:rowOff>
    </xdr:from>
    <xdr:to>
      <xdr:col>22</xdr:col>
      <xdr:colOff>1209825</xdr:colOff>
      <xdr:row>554</xdr:row>
      <xdr:rowOff>161640</xdr:rowOff>
    </xdr:to>
    <xdr:pic>
      <xdr:nvPicPr>
        <xdr:cNvPr id="35" name="image74.jpg">
          <a:extLst>
            <a:ext uri="{FF2B5EF4-FFF2-40B4-BE49-F238E27FC236}">
              <a16:creationId xmlns:a16="http://schemas.microsoft.com/office/drawing/2014/main" id="{0654CF70-B9EB-4E8F-A5FB-A3B1E1F9E6DE}"/>
            </a:ext>
          </a:extLst>
        </xdr:cNvPr>
        <xdr:cNvPicPr/>
      </xdr:nvPicPr>
      <xdr:blipFill>
        <a:blip xmlns:r="http://schemas.openxmlformats.org/officeDocument/2006/relationships" r:embed="rId24"/>
        <a:stretch/>
      </xdr:blipFill>
      <xdr:spPr>
        <a:xfrm>
          <a:off x="943200" y="130243320"/>
          <a:ext cx="1895400" cy="1134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95400</xdr:colOff>
      <xdr:row>627</xdr:row>
      <xdr:rowOff>106560</xdr:rowOff>
    </xdr:from>
    <xdr:to>
      <xdr:col>23</xdr:col>
      <xdr:colOff>559425</xdr:colOff>
      <xdr:row>631</xdr:row>
      <xdr:rowOff>103680</xdr:rowOff>
    </xdr:to>
    <xdr:pic>
      <xdr:nvPicPr>
        <xdr:cNvPr id="36" name="image78.jpg">
          <a:extLst>
            <a:ext uri="{FF2B5EF4-FFF2-40B4-BE49-F238E27FC236}">
              <a16:creationId xmlns:a16="http://schemas.microsoft.com/office/drawing/2014/main" id="{E10F69FB-914D-4042-BB1C-307E178719D4}"/>
            </a:ext>
          </a:extLst>
        </xdr:cNvPr>
        <xdr:cNvPicPr/>
      </xdr:nvPicPr>
      <xdr:blipFill>
        <a:blip xmlns:r="http://schemas.openxmlformats.org/officeDocument/2006/relationships" r:embed="rId25"/>
        <a:stretch/>
      </xdr:blipFill>
      <xdr:spPr>
        <a:xfrm>
          <a:off x="95400" y="145743810"/>
          <a:ext cx="3312000" cy="759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209520</xdr:colOff>
      <xdr:row>645</xdr:row>
      <xdr:rowOff>106560</xdr:rowOff>
    </xdr:from>
    <xdr:to>
      <xdr:col>23</xdr:col>
      <xdr:colOff>416145</xdr:colOff>
      <xdr:row>650</xdr:row>
      <xdr:rowOff>160920</xdr:rowOff>
    </xdr:to>
    <xdr:pic>
      <xdr:nvPicPr>
        <xdr:cNvPr id="37" name="image76.jpg">
          <a:extLst>
            <a:ext uri="{FF2B5EF4-FFF2-40B4-BE49-F238E27FC236}">
              <a16:creationId xmlns:a16="http://schemas.microsoft.com/office/drawing/2014/main" id="{FB6CFB34-59A8-4742-ACEE-BC222A5F973F}"/>
            </a:ext>
          </a:extLst>
        </xdr:cNvPr>
        <xdr:cNvPicPr/>
      </xdr:nvPicPr>
      <xdr:blipFill>
        <a:blip xmlns:r="http://schemas.openxmlformats.org/officeDocument/2006/relationships" r:embed="rId26"/>
        <a:stretch/>
      </xdr:blipFill>
      <xdr:spPr>
        <a:xfrm>
          <a:off x="209520" y="149172810"/>
          <a:ext cx="3054600" cy="1006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138960</xdr:colOff>
      <xdr:row>661</xdr:row>
      <xdr:rowOff>74520</xdr:rowOff>
    </xdr:from>
    <xdr:to>
      <xdr:col>22</xdr:col>
      <xdr:colOff>563055</xdr:colOff>
      <xdr:row>666</xdr:row>
      <xdr:rowOff>154080</xdr:rowOff>
    </xdr:to>
    <xdr:pic>
      <xdr:nvPicPr>
        <xdr:cNvPr id="38" name="image73.jpg">
          <a:extLst>
            <a:ext uri="{FF2B5EF4-FFF2-40B4-BE49-F238E27FC236}">
              <a16:creationId xmlns:a16="http://schemas.microsoft.com/office/drawing/2014/main" id="{BB6FE7C1-DEAD-4E06-844D-54ADD792F3DD}"/>
            </a:ext>
          </a:extLst>
        </xdr:cNvPr>
        <xdr:cNvPicPr/>
      </xdr:nvPicPr>
      <xdr:blipFill>
        <a:blip xmlns:r="http://schemas.openxmlformats.org/officeDocument/2006/relationships" r:embed="rId27"/>
        <a:stretch/>
      </xdr:blipFill>
      <xdr:spPr>
        <a:xfrm>
          <a:off x="138960" y="152360220"/>
          <a:ext cx="1690920" cy="10320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1204200</xdr:colOff>
      <xdr:row>666</xdr:row>
      <xdr:rowOff>146880</xdr:rowOff>
    </xdr:from>
    <xdr:to>
      <xdr:col>22</xdr:col>
      <xdr:colOff>1072530</xdr:colOff>
      <xdr:row>672</xdr:row>
      <xdr:rowOff>190440</xdr:rowOff>
    </xdr:to>
    <xdr:pic>
      <xdr:nvPicPr>
        <xdr:cNvPr id="39" name="image71.jpg">
          <a:extLst>
            <a:ext uri="{FF2B5EF4-FFF2-40B4-BE49-F238E27FC236}">
              <a16:creationId xmlns:a16="http://schemas.microsoft.com/office/drawing/2014/main" id="{96D0C987-88AF-4A16-A2A9-485DF412A105}"/>
            </a:ext>
          </a:extLst>
        </xdr:cNvPr>
        <xdr:cNvPicPr/>
      </xdr:nvPicPr>
      <xdr:blipFill>
        <a:blip xmlns:r="http://schemas.openxmlformats.org/officeDocument/2006/relationships" r:embed="rId28"/>
        <a:stretch/>
      </xdr:blipFill>
      <xdr:spPr>
        <a:xfrm>
          <a:off x="1204200" y="153385080"/>
          <a:ext cx="1982880" cy="1186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66600</xdr:colOff>
      <xdr:row>579</xdr:row>
      <xdr:rowOff>360</xdr:rowOff>
    </xdr:from>
    <xdr:to>
      <xdr:col>23</xdr:col>
      <xdr:colOff>568425</xdr:colOff>
      <xdr:row>583</xdr:row>
      <xdr:rowOff>188280</xdr:rowOff>
    </xdr:to>
    <xdr:pic>
      <xdr:nvPicPr>
        <xdr:cNvPr id="40" name="image79.jpg">
          <a:extLst>
            <a:ext uri="{FF2B5EF4-FFF2-40B4-BE49-F238E27FC236}">
              <a16:creationId xmlns:a16="http://schemas.microsoft.com/office/drawing/2014/main" id="{3168F597-3003-45E2-8D6A-9066C8B5D9D4}"/>
            </a:ext>
          </a:extLst>
        </xdr:cNvPr>
        <xdr:cNvPicPr/>
      </xdr:nvPicPr>
      <xdr:blipFill>
        <a:blip xmlns:r="http://schemas.openxmlformats.org/officeDocument/2006/relationships" r:embed="rId29"/>
        <a:stretch/>
      </xdr:blipFill>
      <xdr:spPr>
        <a:xfrm>
          <a:off x="66600" y="136322160"/>
          <a:ext cx="3349800" cy="949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600</xdr:row>
      <xdr:rowOff>48600</xdr:rowOff>
    </xdr:from>
    <xdr:to>
      <xdr:col>24</xdr:col>
      <xdr:colOff>54195</xdr:colOff>
      <xdr:row>608</xdr:row>
      <xdr:rowOff>45360</xdr:rowOff>
    </xdr:to>
    <xdr:pic>
      <xdr:nvPicPr>
        <xdr:cNvPr id="41" name="image81.jpg">
          <a:extLst>
            <a:ext uri="{FF2B5EF4-FFF2-40B4-BE49-F238E27FC236}">
              <a16:creationId xmlns:a16="http://schemas.microsoft.com/office/drawing/2014/main" id="{137738AA-13B3-4491-B250-5CCC064CC314}"/>
            </a:ext>
          </a:extLst>
        </xdr:cNvPr>
        <xdr:cNvPicPr/>
      </xdr:nvPicPr>
      <xdr:blipFill>
        <a:blip xmlns:r="http://schemas.openxmlformats.org/officeDocument/2006/relationships" r:embed="rId30"/>
        <a:stretch/>
      </xdr:blipFill>
      <xdr:spPr>
        <a:xfrm>
          <a:off x="0" y="140370900"/>
          <a:ext cx="3483195" cy="1520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324360</xdr:colOff>
      <xdr:row>565</xdr:row>
      <xdr:rowOff>188640</xdr:rowOff>
    </xdr:from>
    <xdr:to>
      <xdr:col>23</xdr:col>
      <xdr:colOff>397065</xdr:colOff>
      <xdr:row>570</xdr:row>
      <xdr:rowOff>189720</xdr:rowOff>
    </xdr:to>
    <xdr:pic>
      <xdr:nvPicPr>
        <xdr:cNvPr id="42" name="image75.jpg">
          <a:extLst>
            <a:ext uri="{FF2B5EF4-FFF2-40B4-BE49-F238E27FC236}">
              <a16:creationId xmlns:a16="http://schemas.microsoft.com/office/drawing/2014/main" id="{8D151DB9-CB42-4689-BAA3-5E153C43CD8C}"/>
            </a:ext>
          </a:extLst>
        </xdr:cNvPr>
        <xdr:cNvPicPr/>
      </xdr:nvPicPr>
      <xdr:blipFill>
        <a:blip xmlns:r="http://schemas.openxmlformats.org/officeDocument/2006/relationships" r:embed="rId31"/>
        <a:stretch/>
      </xdr:blipFill>
      <xdr:spPr>
        <a:xfrm>
          <a:off x="324360" y="133671990"/>
          <a:ext cx="2920680" cy="953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372240</xdr:colOff>
      <xdr:row>558</xdr:row>
      <xdr:rowOff>166680</xdr:rowOff>
    </xdr:from>
    <xdr:to>
      <xdr:col>23</xdr:col>
      <xdr:colOff>408585</xdr:colOff>
      <xdr:row>564</xdr:row>
      <xdr:rowOff>136800</xdr:rowOff>
    </xdr:to>
    <xdr:pic>
      <xdr:nvPicPr>
        <xdr:cNvPr id="43" name="image72.jpg">
          <a:extLst>
            <a:ext uri="{FF2B5EF4-FFF2-40B4-BE49-F238E27FC236}">
              <a16:creationId xmlns:a16="http://schemas.microsoft.com/office/drawing/2014/main" id="{CA92918F-68DA-4DF9-8B22-2158A261F492}"/>
            </a:ext>
          </a:extLst>
        </xdr:cNvPr>
        <xdr:cNvPicPr/>
      </xdr:nvPicPr>
      <xdr:blipFill>
        <a:blip xmlns:r="http://schemas.openxmlformats.org/officeDocument/2006/relationships" r:embed="rId32"/>
        <a:stretch/>
      </xdr:blipFill>
      <xdr:spPr>
        <a:xfrm>
          <a:off x="372240" y="132316530"/>
          <a:ext cx="2884320" cy="1113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167400</xdr:colOff>
      <xdr:row>691</xdr:row>
      <xdr:rowOff>70920</xdr:rowOff>
    </xdr:from>
    <xdr:to>
      <xdr:col>23</xdr:col>
      <xdr:colOff>497865</xdr:colOff>
      <xdr:row>701</xdr:row>
      <xdr:rowOff>77400</xdr:rowOff>
    </xdr:to>
    <xdr:pic>
      <xdr:nvPicPr>
        <xdr:cNvPr id="44" name="image91.jpg">
          <a:extLst>
            <a:ext uri="{FF2B5EF4-FFF2-40B4-BE49-F238E27FC236}">
              <a16:creationId xmlns:a16="http://schemas.microsoft.com/office/drawing/2014/main" id="{3A06A76A-BF9C-48C9-8516-E50BE1B42C22}"/>
            </a:ext>
          </a:extLst>
        </xdr:cNvPr>
        <xdr:cNvPicPr/>
      </xdr:nvPicPr>
      <xdr:blipFill>
        <a:blip xmlns:r="http://schemas.openxmlformats.org/officeDocument/2006/relationships" r:embed="rId33"/>
        <a:stretch/>
      </xdr:blipFill>
      <xdr:spPr>
        <a:xfrm>
          <a:off x="167400" y="158243070"/>
          <a:ext cx="3178440" cy="1911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59760</xdr:colOff>
      <xdr:row>676</xdr:row>
      <xdr:rowOff>99720</xdr:rowOff>
    </xdr:from>
    <xdr:to>
      <xdr:col>23</xdr:col>
      <xdr:colOff>580665</xdr:colOff>
      <xdr:row>684</xdr:row>
      <xdr:rowOff>11160</xdr:rowOff>
    </xdr:to>
    <xdr:pic>
      <xdr:nvPicPr>
        <xdr:cNvPr id="45" name="image95.jpg">
          <a:extLst>
            <a:ext uri="{FF2B5EF4-FFF2-40B4-BE49-F238E27FC236}">
              <a16:creationId xmlns:a16="http://schemas.microsoft.com/office/drawing/2014/main" id="{887FDC58-1377-4B08-AEE0-DFDF04F676F1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>
        <a:xfrm>
          <a:off x="59760" y="155414370"/>
          <a:ext cx="3368880" cy="1435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370800</xdr:colOff>
      <xdr:row>733</xdr:row>
      <xdr:rowOff>159480</xdr:rowOff>
    </xdr:from>
    <xdr:to>
      <xdr:col>23</xdr:col>
      <xdr:colOff>268905</xdr:colOff>
      <xdr:row>741</xdr:row>
      <xdr:rowOff>41400</xdr:rowOff>
    </xdr:to>
    <xdr:pic>
      <xdr:nvPicPr>
        <xdr:cNvPr id="46" name="image83.jpg">
          <a:extLst>
            <a:ext uri="{FF2B5EF4-FFF2-40B4-BE49-F238E27FC236}">
              <a16:creationId xmlns:a16="http://schemas.microsoft.com/office/drawing/2014/main" id="{62382828-F6A5-4221-BFE0-7D344DB57C95}"/>
            </a:ext>
          </a:extLst>
        </xdr:cNvPr>
        <xdr:cNvPicPr/>
      </xdr:nvPicPr>
      <xdr:blipFill>
        <a:blip xmlns:r="http://schemas.openxmlformats.org/officeDocument/2006/relationships" r:embed="rId35"/>
        <a:stretch/>
      </xdr:blipFill>
      <xdr:spPr>
        <a:xfrm>
          <a:off x="370800" y="166504080"/>
          <a:ext cx="2746080" cy="1405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366480</xdr:colOff>
      <xdr:row>745</xdr:row>
      <xdr:rowOff>137880</xdr:rowOff>
    </xdr:from>
    <xdr:to>
      <xdr:col>23</xdr:col>
      <xdr:colOff>72705</xdr:colOff>
      <xdr:row>751</xdr:row>
      <xdr:rowOff>147240</xdr:rowOff>
    </xdr:to>
    <xdr:pic>
      <xdr:nvPicPr>
        <xdr:cNvPr id="47" name="image84.jpg">
          <a:extLst>
            <a:ext uri="{FF2B5EF4-FFF2-40B4-BE49-F238E27FC236}">
              <a16:creationId xmlns:a16="http://schemas.microsoft.com/office/drawing/2014/main" id="{2724E37B-3AE4-4084-AC69-DCFD8D09DFAA}"/>
            </a:ext>
          </a:extLst>
        </xdr:cNvPr>
        <xdr:cNvPicPr/>
      </xdr:nvPicPr>
      <xdr:blipFill>
        <a:blip xmlns:r="http://schemas.openxmlformats.org/officeDocument/2006/relationships" r:embed="rId36"/>
        <a:stretch/>
      </xdr:blipFill>
      <xdr:spPr>
        <a:xfrm>
          <a:off x="366480" y="168939930"/>
          <a:ext cx="2554200" cy="1152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46440</xdr:colOff>
      <xdr:row>710</xdr:row>
      <xdr:rowOff>113400</xdr:rowOff>
    </xdr:from>
    <xdr:to>
      <xdr:col>23</xdr:col>
      <xdr:colOff>557985</xdr:colOff>
      <xdr:row>718</xdr:row>
      <xdr:rowOff>24480</xdr:rowOff>
    </xdr:to>
    <xdr:pic>
      <xdr:nvPicPr>
        <xdr:cNvPr id="48" name="image95.jpg">
          <a:extLst>
            <a:ext uri="{FF2B5EF4-FFF2-40B4-BE49-F238E27FC236}">
              <a16:creationId xmlns:a16="http://schemas.microsoft.com/office/drawing/2014/main" id="{345CA54D-3AFE-4978-8760-65CB15E967A8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>
        <a:xfrm>
          <a:off x="46440" y="161905050"/>
          <a:ext cx="3359520" cy="1435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209520</xdr:colOff>
      <xdr:row>757</xdr:row>
      <xdr:rowOff>17640</xdr:rowOff>
    </xdr:from>
    <xdr:to>
      <xdr:col>23</xdr:col>
      <xdr:colOff>492465</xdr:colOff>
      <xdr:row>764</xdr:row>
      <xdr:rowOff>33840</xdr:rowOff>
    </xdr:to>
    <xdr:pic>
      <xdr:nvPicPr>
        <xdr:cNvPr id="49" name="image109.jpg">
          <a:extLst>
            <a:ext uri="{FF2B5EF4-FFF2-40B4-BE49-F238E27FC236}">
              <a16:creationId xmlns:a16="http://schemas.microsoft.com/office/drawing/2014/main" id="{0C2B4524-0E93-4991-BA55-CF041309491F}"/>
            </a:ext>
          </a:extLst>
        </xdr:cNvPr>
        <xdr:cNvPicPr/>
      </xdr:nvPicPr>
      <xdr:blipFill>
        <a:blip xmlns:r="http://schemas.openxmlformats.org/officeDocument/2006/relationships" r:embed="rId37"/>
        <a:stretch/>
      </xdr:blipFill>
      <xdr:spPr>
        <a:xfrm>
          <a:off x="209520" y="171277140"/>
          <a:ext cx="3130920" cy="1349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188640</xdr:colOff>
      <xdr:row>772</xdr:row>
      <xdr:rowOff>77400</xdr:rowOff>
    </xdr:from>
    <xdr:to>
      <xdr:col>23</xdr:col>
      <xdr:colOff>452505</xdr:colOff>
      <xdr:row>782</xdr:row>
      <xdr:rowOff>169560</xdr:rowOff>
    </xdr:to>
    <xdr:pic>
      <xdr:nvPicPr>
        <xdr:cNvPr id="50" name="image115.jpg">
          <a:extLst>
            <a:ext uri="{FF2B5EF4-FFF2-40B4-BE49-F238E27FC236}">
              <a16:creationId xmlns:a16="http://schemas.microsoft.com/office/drawing/2014/main" id="{CF008BE2-6462-46AE-8FCE-8C4EDD04F30E}"/>
            </a:ext>
          </a:extLst>
        </xdr:cNvPr>
        <xdr:cNvPicPr/>
      </xdr:nvPicPr>
      <xdr:blipFill>
        <a:blip xmlns:r="http://schemas.openxmlformats.org/officeDocument/2006/relationships" r:embed="rId38"/>
        <a:stretch/>
      </xdr:blipFill>
      <xdr:spPr>
        <a:xfrm>
          <a:off x="188640" y="174194400"/>
          <a:ext cx="3111840" cy="1997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63360</xdr:colOff>
      <xdr:row>803</xdr:row>
      <xdr:rowOff>149400</xdr:rowOff>
    </xdr:from>
    <xdr:to>
      <xdr:col>23</xdr:col>
      <xdr:colOff>489945</xdr:colOff>
      <xdr:row>809</xdr:row>
      <xdr:rowOff>86760</xdr:rowOff>
    </xdr:to>
    <xdr:pic>
      <xdr:nvPicPr>
        <xdr:cNvPr id="51" name="image126.jpg">
          <a:extLst>
            <a:ext uri="{FF2B5EF4-FFF2-40B4-BE49-F238E27FC236}">
              <a16:creationId xmlns:a16="http://schemas.microsoft.com/office/drawing/2014/main" id="{AEE2CA28-B7AF-437E-8A02-CF3EA94B9586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>
        <a:xfrm>
          <a:off x="63360" y="180343350"/>
          <a:ext cx="3274560" cy="1080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703800</xdr:colOff>
      <xdr:row>814</xdr:row>
      <xdr:rowOff>40320</xdr:rowOff>
    </xdr:from>
    <xdr:to>
      <xdr:col>22</xdr:col>
      <xdr:colOff>1274070</xdr:colOff>
      <xdr:row>820</xdr:row>
      <xdr:rowOff>128520</xdr:rowOff>
    </xdr:to>
    <xdr:pic>
      <xdr:nvPicPr>
        <xdr:cNvPr id="52" name="image103.jpg">
          <a:extLst>
            <a:ext uri="{FF2B5EF4-FFF2-40B4-BE49-F238E27FC236}">
              <a16:creationId xmlns:a16="http://schemas.microsoft.com/office/drawing/2014/main" id="{34AB6073-35AA-407A-BB8F-8D3E159C6D5C}"/>
            </a:ext>
          </a:extLst>
        </xdr:cNvPr>
        <xdr:cNvPicPr/>
      </xdr:nvPicPr>
      <xdr:blipFill>
        <a:blip xmlns:r="http://schemas.openxmlformats.org/officeDocument/2006/relationships" r:embed="rId40"/>
        <a:stretch/>
      </xdr:blipFill>
      <xdr:spPr>
        <a:xfrm>
          <a:off x="703800" y="182501220"/>
          <a:ext cx="1960920" cy="123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277560</xdr:colOff>
      <xdr:row>822</xdr:row>
      <xdr:rowOff>232560</xdr:rowOff>
    </xdr:from>
    <xdr:to>
      <xdr:col>23</xdr:col>
      <xdr:colOff>360345</xdr:colOff>
      <xdr:row>828</xdr:row>
      <xdr:rowOff>22770</xdr:rowOff>
    </xdr:to>
    <xdr:pic>
      <xdr:nvPicPr>
        <xdr:cNvPr id="53" name="image106.jpg">
          <a:extLst>
            <a:ext uri="{FF2B5EF4-FFF2-40B4-BE49-F238E27FC236}">
              <a16:creationId xmlns:a16="http://schemas.microsoft.com/office/drawing/2014/main" id="{2B500EB1-2E52-4B64-A1F4-6305EAFB3211}"/>
            </a:ext>
          </a:extLst>
        </xdr:cNvPr>
        <xdr:cNvPicPr/>
      </xdr:nvPicPr>
      <xdr:blipFill>
        <a:blip xmlns:r="http://schemas.openxmlformats.org/officeDocument/2006/relationships" r:embed="rId41"/>
        <a:stretch/>
      </xdr:blipFill>
      <xdr:spPr>
        <a:xfrm>
          <a:off x="277560" y="184217460"/>
          <a:ext cx="2930760" cy="97131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786600</xdr:colOff>
      <xdr:row>827</xdr:row>
      <xdr:rowOff>77040</xdr:rowOff>
    </xdr:from>
    <xdr:to>
      <xdr:col>22</xdr:col>
      <xdr:colOff>1117065</xdr:colOff>
      <xdr:row>832</xdr:row>
      <xdr:rowOff>169200</xdr:rowOff>
    </xdr:to>
    <xdr:pic>
      <xdr:nvPicPr>
        <xdr:cNvPr id="54" name="image97.jpg">
          <a:extLst>
            <a:ext uri="{FF2B5EF4-FFF2-40B4-BE49-F238E27FC236}">
              <a16:creationId xmlns:a16="http://schemas.microsoft.com/office/drawing/2014/main" id="{EB340B59-A664-4D51-B086-091C8CCA47FA}"/>
            </a:ext>
          </a:extLst>
        </xdr:cNvPr>
        <xdr:cNvPicPr/>
      </xdr:nvPicPr>
      <xdr:blipFill>
        <a:blip xmlns:r="http://schemas.openxmlformats.org/officeDocument/2006/relationships" r:embed="rId42"/>
        <a:stretch/>
      </xdr:blipFill>
      <xdr:spPr>
        <a:xfrm>
          <a:off x="786600" y="185185890"/>
          <a:ext cx="1806840" cy="1044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27360</xdr:colOff>
      <xdr:row>853</xdr:row>
      <xdr:rowOff>99000</xdr:rowOff>
    </xdr:from>
    <xdr:to>
      <xdr:col>24</xdr:col>
      <xdr:colOff>53115</xdr:colOff>
      <xdr:row>860</xdr:row>
      <xdr:rowOff>38520</xdr:rowOff>
    </xdr:to>
    <xdr:pic>
      <xdr:nvPicPr>
        <xdr:cNvPr id="55" name="image131.jpg">
          <a:extLst>
            <a:ext uri="{FF2B5EF4-FFF2-40B4-BE49-F238E27FC236}">
              <a16:creationId xmlns:a16="http://schemas.microsoft.com/office/drawing/2014/main" id="{B5A469F6-72CC-4F27-B499-BB79B379E0BF}"/>
            </a:ext>
          </a:extLst>
        </xdr:cNvPr>
        <xdr:cNvPicPr/>
      </xdr:nvPicPr>
      <xdr:blipFill>
        <a:blip xmlns:r="http://schemas.openxmlformats.org/officeDocument/2006/relationships" r:embed="rId43"/>
        <a:stretch/>
      </xdr:blipFill>
      <xdr:spPr>
        <a:xfrm>
          <a:off x="27360" y="190503750"/>
          <a:ext cx="3454755" cy="12730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878</xdr:row>
      <xdr:rowOff>83880</xdr:rowOff>
    </xdr:from>
    <xdr:to>
      <xdr:col>23</xdr:col>
      <xdr:colOff>464025</xdr:colOff>
      <xdr:row>885</xdr:row>
      <xdr:rowOff>5040</xdr:rowOff>
    </xdr:to>
    <xdr:pic>
      <xdr:nvPicPr>
        <xdr:cNvPr id="56" name="image121.jpg">
          <a:extLst>
            <a:ext uri="{FF2B5EF4-FFF2-40B4-BE49-F238E27FC236}">
              <a16:creationId xmlns:a16="http://schemas.microsoft.com/office/drawing/2014/main" id="{EC9A09B3-4495-4984-B5DF-C52230746C4E}"/>
            </a:ext>
          </a:extLst>
        </xdr:cNvPr>
        <xdr:cNvPicPr/>
      </xdr:nvPicPr>
      <xdr:blipFill>
        <a:blip xmlns:r="http://schemas.openxmlformats.org/officeDocument/2006/relationships" r:embed="rId44"/>
        <a:stretch/>
      </xdr:blipFill>
      <xdr:spPr>
        <a:xfrm>
          <a:off x="38160" y="195422580"/>
          <a:ext cx="3273840" cy="1254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231480</xdr:colOff>
      <xdr:row>835</xdr:row>
      <xdr:rowOff>359280</xdr:rowOff>
    </xdr:from>
    <xdr:to>
      <xdr:col>23</xdr:col>
      <xdr:colOff>483105</xdr:colOff>
      <xdr:row>841</xdr:row>
      <xdr:rowOff>137160</xdr:rowOff>
    </xdr:to>
    <xdr:pic>
      <xdr:nvPicPr>
        <xdr:cNvPr id="57" name="image107.jpg">
          <a:extLst>
            <a:ext uri="{FF2B5EF4-FFF2-40B4-BE49-F238E27FC236}">
              <a16:creationId xmlns:a16="http://schemas.microsoft.com/office/drawing/2014/main" id="{EFC834A6-F250-486B-91B4-30FB784C73AE}"/>
            </a:ext>
          </a:extLst>
        </xdr:cNvPr>
        <xdr:cNvPicPr/>
      </xdr:nvPicPr>
      <xdr:blipFill>
        <a:blip xmlns:r="http://schemas.openxmlformats.org/officeDocument/2006/relationships" r:embed="rId45"/>
        <a:stretch/>
      </xdr:blipFill>
      <xdr:spPr>
        <a:xfrm>
          <a:off x="231480" y="186992130"/>
          <a:ext cx="3099600" cy="10923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905040</xdr:colOff>
      <xdr:row>842</xdr:row>
      <xdr:rowOff>35280</xdr:rowOff>
    </xdr:from>
    <xdr:to>
      <xdr:col>22</xdr:col>
      <xdr:colOff>873525</xdr:colOff>
      <xdr:row>849</xdr:row>
      <xdr:rowOff>3600</xdr:rowOff>
    </xdr:to>
    <xdr:pic>
      <xdr:nvPicPr>
        <xdr:cNvPr id="58" name="image120.jpg">
          <a:extLst>
            <a:ext uri="{FF2B5EF4-FFF2-40B4-BE49-F238E27FC236}">
              <a16:creationId xmlns:a16="http://schemas.microsoft.com/office/drawing/2014/main" id="{F0C6DE5E-5E39-4E17-882E-EAF6A7E3E332}"/>
            </a:ext>
          </a:extLst>
        </xdr:cNvPr>
        <xdr:cNvPicPr/>
      </xdr:nvPicPr>
      <xdr:blipFill>
        <a:blip xmlns:r="http://schemas.openxmlformats.org/officeDocument/2006/relationships" r:embed="rId46"/>
        <a:stretch/>
      </xdr:blipFill>
      <xdr:spPr>
        <a:xfrm>
          <a:off x="905040" y="188173080"/>
          <a:ext cx="1559160" cy="13018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888</xdr:row>
      <xdr:rowOff>93240</xdr:rowOff>
    </xdr:from>
    <xdr:to>
      <xdr:col>23</xdr:col>
      <xdr:colOff>530625</xdr:colOff>
      <xdr:row>894</xdr:row>
      <xdr:rowOff>71280</xdr:rowOff>
    </xdr:to>
    <xdr:pic>
      <xdr:nvPicPr>
        <xdr:cNvPr id="59" name="image98.jpg">
          <a:extLst>
            <a:ext uri="{FF2B5EF4-FFF2-40B4-BE49-F238E27FC236}">
              <a16:creationId xmlns:a16="http://schemas.microsoft.com/office/drawing/2014/main" id="{FB9456C3-53E2-44D6-B395-17205811C717}"/>
            </a:ext>
          </a:extLst>
        </xdr:cNvPr>
        <xdr:cNvPicPr/>
      </xdr:nvPicPr>
      <xdr:blipFill>
        <a:blip xmlns:r="http://schemas.openxmlformats.org/officeDocument/2006/relationships" r:embed="rId47"/>
        <a:stretch/>
      </xdr:blipFill>
      <xdr:spPr>
        <a:xfrm>
          <a:off x="0" y="197508390"/>
          <a:ext cx="3378600" cy="1121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19080</xdr:colOff>
      <xdr:row>917</xdr:row>
      <xdr:rowOff>123120</xdr:rowOff>
    </xdr:from>
    <xdr:to>
      <xdr:col>23</xdr:col>
      <xdr:colOff>568785</xdr:colOff>
      <xdr:row>923</xdr:row>
      <xdr:rowOff>72720</xdr:rowOff>
    </xdr:to>
    <xdr:pic>
      <xdr:nvPicPr>
        <xdr:cNvPr id="60" name="image105.jpg">
          <a:extLst>
            <a:ext uri="{FF2B5EF4-FFF2-40B4-BE49-F238E27FC236}">
              <a16:creationId xmlns:a16="http://schemas.microsoft.com/office/drawing/2014/main" id="{D492296B-B9FB-4412-8A84-D70C9B748A69}"/>
            </a:ext>
          </a:extLst>
        </xdr:cNvPr>
        <xdr:cNvPicPr/>
      </xdr:nvPicPr>
      <xdr:blipFill>
        <a:blip xmlns:r="http://schemas.openxmlformats.org/officeDocument/2006/relationships" r:embed="rId48"/>
        <a:stretch/>
      </xdr:blipFill>
      <xdr:spPr>
        <a:xfrm>
          <a:off x="19080" y="203234220"/>
          <a:ext cx="3397680" cy="1092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19080</xdr:colOff>
      <xdr:row>936</xdr:row>
      <xdr:rowOff>77040</xdr:rowOff>
    </xdr:from>
    <xdr:to>
      <xdr:col>24</xdr:col>
      <xdr:colOff>54225</xdr:colOff>
      <xdr:row>941</xdr:row>
      <xdr:rowOff>16920</xdr:rowOff>
    </xdr:to>
    <xdr:pic>
      <xdr:nvPicPr>
        <xdr:cNvPr id="61" name="image100.jpg">
          <a:extLst>
            <a:ext uri="{FF2B5EF4-FFF2-40B4-BE49-F238E27FC236}">
              <a16:creationId xmlns:a16="http://schemas.microsoft.com/office/drawing/2014/main" id="{B0CE3264-BB22-4380-8B92-F345AC0EE205}"/>
            </a:ext>
          </a:extLst>
        </xdr:cNvPr>
        <xdr:cNvPicPr/>
      </xdr:nvPicPr>
      <xdr:blipFill>
        <a:blip xmlns:r="http://schemas.openxmlformats.org/officeDocument/2006/relationships" r:embed="rId49"/>
        <a:stretch/>
      </xdr:blipFill>
      <xdr:spPr>
        <a:xfrm>
          <a:off x="19080" y="207017190"/>
          <a:ext cx="3464145" cy="8923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1060</xdr:row>
      <xdr:rowOff>147240</xdr:rowOff>
    </xdr:from>
    <xdr:to>
      <xdr:col>24</xdr:col>
      <xdr:colOff>25920</xdr:colOff>
      <xdr:row>1067</xdr:row>
      <xdr:rowOff>135000</xdr:rowOff>
    </xdr:to>
    <xdr:pic>
      <xdr:nvPicPr>
        <xdr:cNvPr id="62" name="image127.jpg">
          <a:extLst>
            <a:ext uri="{FF2B5EF4-FFF2-40B4-BE49-F238E27FC236}">
              <a16:creationId xmlns:a16="http://schemas.microsoft.com/office/drawing/2014/main" id="{821384C2-EC4D-454D-9D2C-107BC0295D05}"/>
            </a:ext>
          </a:extLst>
        </xdr:cNvPr>
        <xdr:cNvPicPr/>
      </xdr:nvPicPr>
      <xdr:blipFill>
        <a:blip xmlns:r="http://schemas.openxmlformats.org/officeDocument/2006/relationships" r:embed="rId50"/>
        <a:stretch/>
      </xdr:blipFill>
      <xdr:spPr>
        <a:xfrm>
          <a:off x="38160" y="231223740"/>
          <a:ext cx="3416760" cy="1321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104760</xdr:colOff>
      <xdr:row>1078</xdr:row>
      <xdr:rowOff>90360</xdr:rowOff>
    </xdr:from>
    <xdr:to>
      <xdr:col>23</xdr:col>
      <xdr:colOff>511545</xdr:colOff>
      <xdr:row>1087</xdr:row>
      <xdr:rowOff>39600</xdr:rowOff>
    </xdr:to>
    <xdr:pic>
      <xdr:nvPicPr>
        <xdr:cNvPr id="63" name="image113.jpg">
          <a:extLst>
            <a:ext uri="{FF2B5EF4-FFF2-40B4-BE49-F238E27FC236}">
              <a16:creationId xmlns:a16="http://schemas.microsoft.com/office/drawing/2014/main" id="{32E2094F-BD93-474E-BF63-AB8AB58B7534}"/>
            </a:ext>
          </a:extLst>
        </xdr:cNvPr>
        <xdr:cNvPicPr/>
      </xdr:nvPicPr>
      <xdr:blipFill>
        <a:blip xmlns:r="http://schemas.openxmlformats.org/officeDocument/2006/relationships" r:embed="rId51"/>
        <a:stretch/>
      </xdr:blipFill>
      <xdr:spPr>
        <a:xfrm>
          <a:off x="104760" y="234595860"/>
          <a:ext cx="3254760" cy="16637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10800</xdr:colOff>
      <xdr:row>1096</xdr:row>
      <xdr:rowOff>9720</xdr:rowOff>
    </xdr:from>
    <xdr:to>
      <xdr:col>23</xdr:col>
      <xdr:colOff>531705</xdr:colOff>
      <xdr:row>1101</xdr:row>
      <xdr:rowOff>73440</xdr:rowOff>
    </xdr:to>
    <xdr:pic>
      <xdr:nvPicPr>
        <xdr:cNvPr id="64" name="image122.jpg">
          <a:extLst>
            <a:ext uri="{FF2B5EF4-FFF2-40B4-BE49-F238E27FC236}">
              <a16:creationId xmlns:a16="http://schemas.microsoft.com/office/drawing/2014/main" id="{32751B80-9500-4388-961A-1FB5261EE80F}"/>
            </a:ext>
          </a:extLst>
        </xdr:cNvPr>
        <xdr:cNvPicPr/>
      </xdr:nvPicPr>
      <xdr:blipFill>
        <a:blip xmlns:r="http://schemas.openxmlformats.org/officeDocument/2006/relationships" r:embed="rId52"/>
        <a:stretch/>
      </xdr:blipFill>
      <xdr:spPr>
        <a:xfrm>
          <a:off x="10800" y="238115670"/>
          <a:ext cx="3368880" cy="1016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78840</xdr:colOff>
      <xdr:row>1104</xdr:row>
      <xdr:rowOff>87480</xdr:rowOff>
    </xdr:from>
    <xdr:to>
      <xdr:col>23</xdr:col>
      <xdr:colOff>504705</xdr:colOff>
      <xdr:row>1117</xdr:row>
      <xdr:rowOff>180000</xdr:rowOff>
    </xdr:to>
    <xdr:pic>
      <xdr:nvPicPr>
        <xdr:cNvPr id="65" name="image117.jpg">
          <a:extLst>
            <a:ext uri="{FF2B5EF4-FFF2-40B4-BE49-F238E27FC236}">
              <a16:creationId xmlns:a16="http://schemas.microsoft.com/office/drawing/2014/main" id="{8383B907-0DAA-44E1-BD6B-32EE6AAB23E6}"/>
            </a:ext>
          </a:extLst>
        </xdr:cNvPr>
        <xdr:cNvPicPr/>
      </xdr:nvPicPr>
      <xdr:blipFill>
        <a:blip xmlns:r="http://schemas.openxmlformats.org/officeDocument/2006/relationships" r:embed="rId53"/>
        <a:stretch/>
      </xdr:blipFill>
      <xdr:spPr>
        <a:xfrm>
          <a:off x="78840" y="239717430"/>
          <a:ext cx="3273840" cy="25690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76320</xdr:colOff>
      <xdr:row>1142</xdr:row>
      <xdr:rowOff>144000</xdr:rowOff>
    </xdr:from>
    <xdr:to>
      <xdr:col>24</xdr:col>
      <xdr:colOff>54390</xdr:colOff>
      <xdr:row>1149</xdr:row>
      <xdr:rowOff>74520</xdr:rowOff>
    </xdr:to>
    <xdr:pic>
      <xdr:nvPicPr>
        <xdr:cNvPr id="66" name="image129.jpg">
          <a:extLst>
            <a:ext uri="{FF2B5EF4-FFF2-40B4-BE49-F238E27FC236}">
              <a16:creationId xmlns:a16="http://schemas.microsoft.com/office/drawing/2014/main" id="{91E90A80-5F1E-455F-BF05-F0E755BB286B}"/>
            </a:ext>
          </a:extLst>
        </xdr:cNvPr>
        <xdr:cNvPicPr/>
      </xdr:nvPicPr>
      <xdr:blipFill>
        <a:blip xmlns:r="http://schemas.openxmlformats.org/officeDocument/2006/relationships" r:embed="rId54"/>
        <a:stretch/>
      </xdr:blipFill>
      <xdr:spPr>
        <a:xfrm>
          <a:off x="76320" y="247327275"/>
          <a:ext cx="3407070" cy="12640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1164</xdr:row>
      <xdr:rowOff>163440</xdr:rowOff>
    </xdr:from>
    <xdr:to>
      <xdr:col>24</xdr:col>
      <xdr:colOff>54420</xdr:colOff>
      <xdr:row>1175</xdr:row>
      <xdr:rowOff>65160</xdr:rowOff>
    </xdr:to>
    <xdr:pic>
      <xdr:nvPicPr>
        <xdr:cNvPr id="67" name="image132.jpg">
          <a:extLst>
            <a:ext uri="{FF2B5EF4-FFF2-40B4-BE49-F238E27FC236}">
              <a16:creationId xmlns:a16="http://schemas.microsoft.com/office/drawing/2014/main" id="{872D35C3-2F4C-4F89-9094-20B5370191C2}"/>
            </a:ext>
          </a:extLst>
        </xdr:cNvPr>
        <xdr:cNvPicPr/>
      </xdr:nvPicPr>
      <xdr:blipFill>
        <a:blip xmlns:r="http://schemas.openxmlformats.org/officeDocument/2006/relationships" r:embed="rId55"/>
        <a:stretch/>
      </xdr:blipFill>
      <xdr:spPr>
        <a:xfrm>
          <a:off x="38160" y="251537715"/>
          <a:ext cx="3445260" cy="1997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477720</xdr:colOff>
      <xdr:row>1187</xdr:row>
      <xdr:rowOff>128160</xdr:rowOff>
    </xdr:from>
    <xdr:to>
      <xdr:col>23</xdr:col>
      <xdr:colOff>26265</xdr:colOff>
      <xdr:row>1194</xdr:row>
      <xdr:rowOff>173520</xdr:rowOff>
    </xdr:to>
    <xdr:pic>
      <xdr:nvPicPr>
        <xdr:cNvPr id="68" name="image125.jpg">
          <a:extLst>
            <a:ext uri="{FF2B5EF4-FFF2-40B4-BE49-F238E27FC236}">
              <a16:creationId xmlns:a16="http://schemas.microsoft.com/office/drawing/2014/main" id="{4733085B-861D-4FC2-B1B9-5F8F66DEE6B3}"/>
            </a:ext>
          </a:extLst>
        </xdr:cNvPr>
        <xdr:cNvPicPr/>
      </xdr:nvPicPr>
      <xdr:blipFill>
        <a:blip xmlns:r="http://schemas.openxmlformats.org/officeDocument/2006/relationships" r:embed="rId56"/>
        <a:stretch/>
      </xdr:blipFill>
      <xdr:spPr>
        <a:xfrm>
          <a:off x="477720" y="256055385"/>
          <a:ext cx="2396520" cy="1378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543960</xdr:colOff>
      <xdr:row>1194</xdr:row>
      <xdr:rowOff>180720</xdr:rowOff>
    </xdr:from>
    <xdr:to>
      <xdr:col>22</xdr:col>
      <xdr:colOff>1491135</xdr:colOff>
      <xdr:row>1201</xdr:row>
      <xdr:rowOff>81720</xdr:rowOff>
    </xdr:to>
    <xdr:pic>
      <xdr:nvPicPr>
        <xdr:cNvPr id="69" name="image146.jpg">
          <a:extLst>
            <a:ext uri="{FF2B5EF4-FFF2-40B4-BE49-F238E27FC236}">
              <a16:creationId xmlns:a16="http://schemas.microsoft.com/office/drawing/2014/main" id="{031113A1-65EC-4B6B-BC6D-ADAA4F1CBC4A}"/>
            </a:ext>
          </a:extLst>
        </xdr:cNvPr>
        <xdr:cNvPicPr/>
      </xdr:nvPicPr>
      <xdr:blipFill>
        <a:blip xmlns:r="http://schemas.openxmlformats.org/officeDocument/2006/relationships" r:embed="rId57"/>
        <a:stretch/>
      </xdr:blipFill>
      <xdr:spPr>
        <a:xfrm>
          <a:off x="543960" y="257441445"/>
          <a:ext cx="2214000" cy="1234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1710360</xdr:colOff>
      <xdr:row>1211</xdr:row>
      <xdr:rowOff>169920</xdr:rowOff>
    </xdr:from>
    <xdr:to>
      <xdr:col>22</xdr:col>
      <xdr:colOff>297630</xdr:colOff>
      <xdr:row>1218</xdr:row>
      <xdr:rowOff>100080</xdr:rowOff>
    </xdr:to>
    <xdr:pic>
      <xdr:nvPicPr>
        <xdr:cNvPr id="70" name="image157.jpg">
          <a:extLst>
            <a:ext uri="{FF2B5EF4-FFF2-40B4-BE49-F238E27FC236}">
              <a16:creationId xmlns:a16="http://schemas.microsoft.com/office/drawing/2014/main" id="{3CF48D8D-C142-4DC5-B362-0D91D7C7EB87}"/>
            </a:ext>
          </a:extLst>
        </xdr:cNvPr>
        <xdr:cNvPicPr/>
      </xdr:nvPicPr>
      <xdr:blipFill>
        <a:blip xmlns:r="http://schemas.openxmlformats.org/officeDocument/2006/relationships" r:embed="rId58"/>
        <a:stretch/>
      </xdr:blipFill>
      <xdr:spPr>
        <a:xfrm>
          <a:off x="1710360" y="260888220"/>
          <a:ext cx="1730520" cy="1263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1211</xdr:row>
      <xdr:rowOff>140040</xdr:rowOff>
    </xdr:from>
    <xdr:to>
      <xdr:col>22</xdr:col>
      <xdr:colOff>473415</xdr:colOff>
      <xdr:row>1218</xdr:row>
      <xdr:rowOff>32040</xdr:rowOff>
    </xdr:to>
    <xdr:pic>
      <xdr:nvPicPr>
        <xdr:cNvPr id="71" name="image145.jpg">
          <a:extLst>
            <a:ext uri="{FF2B5EF4-FFF2-40B4-BE49-F238E27FC236}">
              <a16:creationId xmlns:a16="http://schemas.microsoft.com/office/drawing/2014/main" id="{D62C0DD0-BFD6-4D89-B480-7A22BC10F5CF}"/>
            </a:ext>
          </a:extLst>
        </xdr:cNvPr>
        <xdr:cNvPicPr/>
      </xdr:nvPicPr>
      <xdr:blipFill>
        <a:blip xmlns:r="http://schemas.openxmlformats.org/officeDocument/2006/relationships" r:embed="rId59"/>
        <a:stretch/>
      </xdr:blipFill>
      <xdr:spPr>
        <a:xfrm>
          <a:off x="0" y="260858340"/>
          <a:ext cx="1740240" cy="1225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92880</xdr:colOff>
      <xdr:row>1203</xdr:row>
      <xdr:rowOff>351000</xdr:rowOff>
    </xdr:from>
    <xdr:to>
      <xdr:col>23</xdr:col>
      <xdr:colOff>547905</xdr:colOff>
      <xdr:row>1211</xdr:row>
      <xdr:rowOff>104670</xdr:rowOff>
    </xdr:to>
    <xdr:pic>
      <xdr:nvPicPr>
        <xdr:cNvPr id="72" name="image150.jpg">
          <a:extLst>
            <a:ext uri="{FF2B5EF4-FFF2-40B4-BE49-F238E27FC236}">
              <a16:creationId xmlns:a16="http://schemas.microsoft.com/office/drawing/2014/main" id="{501CF145-A16A-4577-BBEB-3722B3911822}"/>
            </a:ext>
          </a:extLst>
        </xdr:cNvPr>
        <xdr:cNvPicPr/>
      </xdr:nvPicPr>
      <xdr:blipFill>
        <a:blip xmlns:r="http://schemas.openxmlformats.org/officeDocument/2006/relationships" r:embed="rId60"/>
        <a:stretch/>
      </xdr:blipFill>
      <xdr:spPr>
        <a:xfrm>
          <a:off x="92880" y="259326225"/>
          <a:ext cx="3303000" cy="1439595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1221</xdr:row>
      <xdr:rowOff>51480</xdr:rowOff>
    </xdr:from>
    <xdr:to>
      <xdr:col>22</xdr:col>
      <xdr:colOff>444975</xdr:colOff>
      <xdr:row>1225</xdr:row>
      <xdr:rowOff>58680</xdr:rowOff>
    </xdr:to>
    <xdr:pic>
      <xdr:nvPicPr>
        <xdr:cNvPr id="73" name="image141.jpg">
          <a:extLst>
            <a:ext uri="{FF2B5EF4-FFF2-40B4-BE49-F238E27FC236}">
              <a16:creationId xmlns:a16="http://schemas.microsoft.com/office/drawing/2014/main" id="{B3266CF8-BB20-4EE9-92D9-2C0A5D73A817}"/>
            </a:ext>
          </a:extLst>
        </xdr:cNvPr>
        <xdr:cNvPicPr/>
      </xdr:nvPicPr>
      <xdr:blipFill>
        <a:blip xmlns:r="http://schemas.openxmlformats.org/officeDocument/2006/relationships" r:embed="rId61"/>
        <a:stretch/>
      </xdr:blipFill>
      <xdr:spPr>
        <a:xfrm>
          <a:off x="0" y="262846230"/>
          <a:ext cx="1711800" cy="769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348480</xdr:colOff>
      <xdr:row>1243</xdr:row>
      <xdr:rowOff>73080</xdr:rowOff>
    </xdr:from>
    <xdr:to>
      <xdr:col>23</xdr:col>
      <xdr:colOff>353145</xdr:colOff>
      <xdr:row>1248</xdr:row>
      <xdr:rowOff>187920</xdr:rowOff>
    </xdr:to>
    <xdr:pic>
      <xdr:nvPicPr>
        <xdr:cNvPr id="74" name="image152.jpg">
          <a:extLst>
            <a:ext uri="{FF2B5EF4-FFF2-40B4-BE49-F238E27FC236}">
              <a16:creationId xmlns:a16="http://schemas.microsoft.com/office/drawing/2014/main" id="{D4766856-FF4C-49FF-9D2B-21859B6FE3F7}"/>
            </a:ext>
          </a:extLst>
        </xdr:cNvPr>
        <xdr:cNvPicPr/>
      </xdr:nvPicPr>
      <xdr:blipFill>
        <a:blip xmlns:r="http://schemas.openxmlformats.org/officeDocument/2006/relationships" r:embed="rId62"/>
        <a:stretch/>
      </xdr:blipFill>
      <xdr:spPr>
        <a:xfrm>
          <a:off x="348480" y="267401730"/>
          <a:ext cx="2852640" cy="1067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563760</xdr:colOff>
      <xdr:row>1249</xdr:row>
      <xdr:rowOff>82080</xdr:rowOff>
    </xdr:from>
    <xdr:to>
      <xdr:col>23</xdr:col>
      <xdr:colOff>113385</xdr:colOff>
      <xdr:row>1254</xdr:row>
      <xdr:rowOff>41040</xdr:rowOff>
    </xdr:to>
    <xdr:pic>
      <xdr:nvPicPr>
        <xdr:cNvPr id="75" name="image136.png">
          <a:extLst>
            <a:ext uri="{FF2B5EF4-FFF2-40B4-BE49-F238E27FC236}">
              <a16:creationId xmlns:a16="http://schemas.microsoft.com/office/drawing/2014/main" id="{BB219761-239A-4214-BE67-B83A0C3EE9F4}"/>
            </a:ext>
          </a:extLst>
        </xdr:cNvPr>
        <xdr:cNvPicPr/>
      </xdr:nvPicPr>
      <xdr:blipFill>
        <a:blip xmlns:r="http://schemas.openxmlformats.org/officeDocument/2006/relationships" r:embed="rId63"/>
        <a:stretch/>
      </xdr:blipFill>
      <xdr:spPr>
        <a:xfrm>
          <a:off x="563760" y="268553730"/>
          <a:ext cx="2397600" cy="9114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1632960</xdr:colOff>
      <xdr:row>1235</xdr:row>
      <xdr:rowOff>188280</xdr:rowOff>
    </xdr:from>
    <xdr:to>
      <xdr:col>22</xdr:col>
      <xdr:colOff>304920</xdr:colOff>
      <xdr:row>1240</xdr:row>
      <xdr:rowOff>144360</xdr:rowOff>
    </xdr:to>
    <xdr:pic>
      <xdr:nvPicPr>
        <xdr:cNvPr id="76" name="image144.jpg">
          <a:extLst>
            <a:ext uri="{FF2B5EF4-FFF2-40B4-BE49-F238E27FC236}">
              <a16:creationId xmlns:a16="http://schemas.microsoft.com/office/drawing/2014/main" id="{2D4669DD-963B-49B6-8267-7464C7343923}"/>
            </a:ext>
          </a:extLst>
        </xdr:cNvPr>
        <xdr:cNvPicPr/>
      </xdr:nvPicPr>
      <xdr:blipFill>
        <a:blip xmlns:r="http://schemas.openxmlformats.org/officeDocument/2006/relationships" r:embed="rId64"/>
        <a:stretch/>
      </xdr:blipFill>
      <xdr:spPr>
        <a:xfrm>
          <a:off x="1632960" y="265821480"/>
          <a:ext cx="1643760" cy="908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86400</xdr:colOff>
      <xdr:row>1231</xdr:row>
      <xdr:rowOff>29880</xdr:rowOff>
    </xdr:from>
    <xdr:to>
      <xdr:col>22</xdr:col>
      <xdr:colOff>662775</xdr:colOff>
      <xdr:row>1235</xdr:row>
      <xdr:rowOff>165600</xdr:rowOff>
    </xdr:to>
    <xdr:pic>
      <xdr:nvPicPr>
        <xdr:cNvPr id="77" name="image148.jpg">
          <a:extLst>
            <a:ext uri="{FF2B5EF4-FFF2-40B4-BE49-F238E27FC236}">
              <a16:creationId xmlns:a16="http://schemas.microsoft.com/office/drawing/2014/main" id="{49CB27C5-247E-4532-8981-DDA06A1D9E88}"/>
            </a:ext>
          </a:extLst>
        </xdr:cNvPr>
        <xdr:cNvPicPr/>
      </xdr:nvPicPr>
      <xdr:blipFill>
        <a:blip xmlns:r="http://schemas.openxmlformats.org/officeDocument/2006/relationships" r:embed="rId65"/>
        <a:stretch/>
      </xdr:blipFill>
      <xdr:spPr>
        <a:xfrm>
          <a:off x="86400" y="264901080"/>
          <a:ext cx="1843200" cy="897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1266</xdr:row>
      <xdr:rowOff>98640</xdr:rowOff>
    </xdr:from>
    <xdr:to>
      <xdr:col>22</xdr:col>
      <xdr:colOff>606615</xdr:colOff>
      <xdr:row>1274</xdr:row>
      <xdr:rowOff>19800</xdr:rowOff>
    </xdr:to>
    <xdr:pic>
      <xdr:nvPicPr>
        <xdr:cNvPr id="78" name="image134.jpg">
          <a:extLst>
            <a:ext uri="{FF2B5EF4-FFF2-40B4-BE49-F238E27FC236}">
              <a16:creationId xmlns:a16="http://schemas.microsoft.com/office/drawing/2014/main" id="{0CD0D1E5-4FC1-481A-BE35-8FEDD3574209}"/>
            </a:ext>
          </a:extLst>
        </xdr:cNvPr>
        <xdr:cNvPicPr/>
      </xdr:nvPicPr>
      <xdr:blipFill>
        <a:blip xmlns:r="http://schemas.openxmlformats.org/officeDocument/2006/relationships" r:embed="rId66"/>
        <a:stretch/>
      </xdr:blipFill>
      <xdr:spPr>
        <a:xfrm>
          <a:off x="0" y="272208840"/>
          <a:ext cx="1873440" cy="1445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2038320</xdr:colOff>
      <xdr:row>1268</xdr:row>
      <xdr:rowOff>22320</xdr:rowOff>
    </xdr:from>
    <xdr:to>
      <xdr:col>21</xdr:col>
      <xdr:colOff>644820</xdr:colOff>
      <xdr:row>1275</xdr:row>
      <xdr:rowOff>57600</xdr:rowOff>
    </xdr:to>
    <xdr:pic>
      <xdr:nvPicPr>
        <xdr:cNvPr id="79" name="image149.jpg">
          <a:extLst>
            <a:ext uri="{FF2B5EF4-FFF2-40B4-BE49-F238E27FC236}">
              <a16:creationId xmlns:a16="http://schemas.microsoft.com/office/drawing/2014/main" id="{A38C0ACB-C95D-41B6-91AB-6028C854DB86}"/>
            </a:ext>
          </a:extLst>
        </xdr:cNvPr>
        <xdr:cNvPicPr/>
      </xdr:nvPicPr>
      <xdr:blipFill>
        <a:blip xmlns:r="http://schemas.openxmlformats.org/officeDocument/2006/relationships" r:embed="rId67"/>
        <a:stretch/>
      </xdr:blipFill>
      <xdr:spPr>
        <a:xfrm>
          <a:off x="2038320" y="272513520"/>
          <a:ext cx="1387800" cy="1368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798840</xdr:colOff>
      <xdr:row>1288</xdr:row>
      <xdr:rowOff>50400</xdr:rowOff>
    </xdr:from>
    <xdr:to>
      <xdr:col>22</xdr:col>
      <xdr:colOff>854460</xdr:colOff>
      <xdr:row>1294</xdr:row>
      <xdr:rowOff>123480</xdr:rowOff>
    </xdr:to>
    <xdr:pic>
      <xdr:nvPicPr>
        <xdr:cNvPr id="80" name="image155.jpg">
          <a:extLst>
            <a:ext uri="{FF2B5EF4-FFF2-40B4-BE49-F238E27FC236}">
              <a16:creationId xmlns:a16="http://schemas.microsoft.com/office/drawing/2014/main" id="{D5394C2C-6F41-4E29-A10A-14D8FB85D883}"/>
            </a:ext>
          </a:extLst>
        </xdr:cNvPr>
        <xdr:cNvPicPr/>
      </xdr:nvPicPr>
      <xdr:blipFill>
        <a:blip xmlns:r="http://schemas.openxmlformats.org/officeDocument/2006/relationships" r:embed="rId68"/>
        <a:stretch/>
      </xdr:blipFill>
      <xdr:spPr>
        <a:xfrm>
          <a:off x="798840" y="276694500"/>
          <a:ext cx="1541520" cy="1216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966</xdr:row>
      <xdr:rowOff>20880</xdr:rowOff>
    </xdr:from>
    <xdr:to>
      <xdr:col>24</xdr:col>
      <xdr:colOff>54120</xdr:colOff>
      <xdr:row>974</xdr:row>
      <xdr:rowOff>179640</xdr:rowOff>
    </xdr:to>
    <xdr:pic>
      <xdr:nvPicPr>
        <xdr:cNvPr id="81" name="image142.png">
          <a:extLst>
            <a:ext uri="{FF2B5EF4-FFF2-40B4-BE49-F238E27FC236}">
              <a16:creationId xmlns:a16="http://schemas.microsoft.com/office/drawing/2014/main" id="{7E68E136-DED0-4252-9DB7-5965B6315B28}"/>
            </a:ext>
          </a:extLst>
        </xdr:cNvPr>
        <xdr:cNvPicPr/>
      </xdr:nvPicPr>
      <xdr:blipFill>
        <a:blip xmlns:r="http://schemas.openxmlformats.org/officeDocument/2006/relationships" r:embed="rId69"/>
        <a:stretch/>
      </xdr:blipFill>
      <xdr:spPr>
        <a:xfrm>
          <a:off x="0" y="212847480"/>
          <a:ext cx="3483120" cy="1682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787</xdr:row>
      <xdr:rowOff>66240</xdr:rowOff>
    </xdr:from>
    <xdr:to>
      <xdr:col>23</xdr:col>
      <xdr:colOff>501825</xdr:colOff>
      <xdr:row>796</xdr:row>
      <xdr:rowOff>111240</xdr:rowOff>
    </xdr:to>
    <xdr:pic>
      <xdr:nvPicPr>
        <xdr:cNvPr id="82" name="image159.png">
          <a:extLst>
            <a:ext uri="{FF2B5EF4-FFF2-40B4-BE49-F238E27FC236}">
              <a16:creationId xmlns:a16="http://schemas.microsoft.com/office/drawing/2014/main" id="{36D447AD-F746-4335-ADFE-90DEBF7DB96C}"/>
            </a:ext>
          </a:extLst>
        </xdr:cNvPr>
        <xdr:cNvPicPr/>
      </xdr:nvPicPr>
      <xdr:blipFill>
        <a:blip xmlns:r="http://schemas.openxmlformats.org/officeDocument/2006/relationships" r:embed="rId70"/>
        <a:stretch/>
      </xdr:blipFill>
      <xdr:spPr>
        <a:xfrm>
          <a:off x="0" y="177040740"/>
          <a:ext cx="3349800" cy="1759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977</xdr:row>
      <xdr:rowOff>182880</xdr:rowOff>
    </xdr:from>
    <xdr:to>
      <xdr:col>24</xdr:col>
      <xdr:colOff>54150</xdr:colOff>
      <xdr:row>985</xdr:row>
      <xdr:rowOff>142200</xdr:rowOff>
    </xdr:to>
    <xdr:pic>
      <xdr:nvPicPr>
        <xdr:cNvPr id="83" name="image143.png">
          <a:extLst>
            <a:ext uri="{FF2B5EF4-FFF2-40B4-BE49-F238E27FC236}">
              <a16:creationId xmlns:a16="http://schemas.microsoft.com/office/drawing/2014/main" id="{97618A5A-2D0E-4406-87FC-0DC7DF74DEEE}"/>
            </a:ext>
          </a:extLst>
        </xdr:cNvPr>
        <xdr:cNvPicPr/>
      </xdr:nvPicPr>
      <xdr:blipFill>
        <a:blip xmlns:r="http://schemas.openxmlformats.org/officeDocument/2006/relationships" r:embed="rId71"/>
        <a:stretch/>
      </xdr:blipFill>
      <xdr:spPr>
        <a:xfrm>
          <a:off x="0" y="215104980"/>
          <a:ext cx="3483150" cy="1483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1472040</xdr:colOff>
      <xdr:row>1225</xdr:row>
      <xdr:rowOff>27000</xdr:rowOff>
    </xdr:from>
    <xdr:to>
      <xdr:col>22</xdr:col>
      <xdr:colOff>555000</xdr:colOff>
      <xdr:row>1228</xdr:row>
      <xdr:rowOff>133560</xdr:rowOff>
    </xdr:to>
    <xdr:pic>
      <xdr:nvPicPr>
        <xdr:cNvPr id="84" name="image158.jpg">
          <a:extLst>
            <a:ext uri="{FF2B5EF4-FFF2-40B4-BE49-F238E27FC236}">
              <a16:creationId xmlns:a16="http://schemas.microsoft.com/office/drawing/2014/main" id="{624ABB5A-8FAC-459B-9E87-ECA4C1544D47}"/>
            </a:ext>
          </a:extLst>
        </xdr:cNvPr>
        <xdr:cNvPicPr/>
      </xdr:nvPicPr>
      <xdr:blipFill>
        <a:blip xmlns:r="http://schemas.openxmlformats.org/officeDocument/2006/relationships" r:embed="rId72"/>
        <a:stretch/>
      </xdr:blipFill>
      <xdr:spPr>
        <a:xfrm>
          <a:off x="1472040" y="263583750"/>
          <a:ext cx="1749960" cy="6780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40680</xdr:colOff>
      <xdr:row>1011</xdr:row>
      <xdr:rowOff>160920</xdr:rowOff>
    </xdr:from>
    <xdr:to>
      <xdr:col>23</xdr:col>
      <xdr:colOff>550785</xdr:colOff>
      <xdr:row>1020</xdr:row>
      <xdr:rowOff>36000</xdr:rowOff>
    </xdr:to>
    <xdr:pic>
      <xdr:nvPicPr>
        <xdr:cNvPr id="85" name="Imagem 7">
          <a:extLst>
            <a:ext uri="{FF2B5EF4-FFF2-40B4-BE49-F238E27FC236}">
              <a16:creationId xmlns:a16="http://schemas.microsoft.com/office/drawing/2014/main" id="{5143C962-0A85-40C1-A2E3-45F645FCED3A}"/>
            </a:ext>
          </a:extLst>
        </xdr:cNvPr>
        <xdr:cNvPicPr/>
      </xdr:nvPicPr>
      <xdr:blipFill>
        <a:blip xmlns:r="http://schemas.openxmlformats.org/officeDocument/2006/relationships" r:embed="rId73"/>
        <a:stretch/>
      </xdr:blipFill>
      <xdr:spPr>
        <a:xfrm>
          <a:off x="40680" y="221731470"/>
          <a:ext cx="3358080" cy="1589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68040</xdr:colOff>
      <xdr:row>1032</xdr:row>
      <xdr:rowOff>188280</xdr:rowOff>
    </xdr:from>
    <xdr:to>
      <xdr:col>23</xdr:col>
      <xdr:colOff>401385</xdr:colOff>
      <xdr:row>1041</xdr:row>
      <xdr:rowOff>152280</xdr:rowOff>
    </xdr:to>
    <xdr:pic>
      <xdr:nvPicPr>
        <xdr:cNvPr id="86" name="Imagem 13">
          <a:extLst>
            <a:ext uri="{FF2B5EF4-FFF2-40B4-BE49-F238E27FC236}">
              <a16:creationId xmlns:a16="http://schemas.microsoft.com/office/drawing/2014/main" id="{C5E56F8D-3EEC-415F-A370-4B1890DB3B06}"/>
            </a:ext>
          </a:extLst>
        </xdr:cNvPr>
        <xdr:cNvPicPr/>
      </xdr:nvPicPr>
      <xdr:blipFill>
        <a:blip xmlns:r="http://schemas.openxmlformats.org/officeDocument/2006/relationships" r:embed="rId74"/>
        <a:stretch/>
      </xdr:blipFill>
      <xdr:spPr>
        <a:xfrm>
          <a:off x="68040" y="225759330"/>
          <a:ext cx="3181320" cy="1678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1279</xdr:row>
      <xdr:rowOff>104040</xdr:rowOff>
    </xdr:from>
    <xdr:to>
      <xdr:col>21</xdr:col>
      <xdr:colOff>774225</xdr:colOff>
      <xdr:row>1286</xdr:row>
      <xdr:rowOff>80640</xdr:rowOff>
    </xdr:to>
    <xdr:pic>
      <xdr:nvPicPr>
        <xdr:cNvPr id="87" name="Imagem 14">
          <a:extLst>
            <a:ext uri="{FF2B5EF4-FFF2-40B4-BE49-F238E27FC236}">
              <a16:creationId xmlns:a16="http://schemas.microsoft.com/office/drawing/2014/main" id="{437E416F-2261-4468-AAB9-AECF1492CA21}"/>
            </a:ext>
          </a:extLst>
        </xdr:cNvPr>
        <xdr:cNvPicPr/>
      </xdr:nvPicPr>
      <xdr:blipFill>
        <a:blip xmlns:r="http://schemas.openxmlformats.org/officeDocument/2006/relationships" r:embed="rId75"/>
        <a:stretch/>
      </xdr:blipFill>
      <xdr:spPr>
        <a:xfrm>
          <a:off x="0" y="274862190"/>
          <a:ext cx="1031400" cy="13101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421920</xdr:colOff>
      <xdr:row>1278</xdr:row>
      <xdr:rowOff>147240</xdr:rowOff>
    </xdr:from>
    <xdr:to>
      <xdr:col>24</xdr:col>
      <xdr:colOff>63270</xdr:colOff>
      <xdr:row>1290</xdr:row>
      <xdr:rowOff>157080</xdr:rowOff>
    </xdr:to>
    <xdr:pic>
      <xdr:nvPicPr>
        <xdr:cNvPr id="88" name="Imagem 15">
          <a:extLst>
            <a:ext uri="{FF2B5EF4-FFF2-40B4-BE49-F238E27FC236}">
              <a16:creationId xmlns:a16="http://schemas.microsoft.com/office/drawing/2014/main" id="{69A54968-E7A5-4672-B142-BB7D4DF679F8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421920" y="274543440"/>
          <a:ext cx="3070350" cy="2295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147</xdr:row>
      <xdr:rowOff>173520</xdr:rowOff>
    </xdr:from>
    <xdr:to>
      <xdr:col>24</xdr:col>
      <xdr:colOff>10080</xdr:colOff>
      <xdr:row>156</xdr:row>
      <xdr:rowOff>28410</xdr:rowOff>
    </xdr:to>
    <xdr:pic>
      <xdr:nvPicPr>
        <xdr:cNvPr id="89" name="Imagem 17">
          <a:extLst>
            <a:ext uri="{FF2B5EF4-FFF2-40B4-BE49-F238E27FC236}">
              <a16:creationId xmlns:a16="http://schemas.microsoft.com/office/drawing/2014/main" id="{6EFF4D4B-08C5-4E8B-996D-4BAB7F7A6898}"/>
            </a:ext>
          </a:extLst>
        </xdr:cNvPr>
        <xdr:cNvPicPr/>
      </xdr:nvPicPr>
      <xdr:blipFill>
        <a:blip xmlns:r="http://schemas.openxmlformats.org/officeDocument/2006/relationships" r:embed="rId76"/>
        <a:stretch/>
      </xdr:blipFill>
      <xdr:spPr>
        <a:xfrm>
          <a:off x="0" y="34273020"/>
          <a:ext cx="3439080" cy="15693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68040</xdr:colOff>
      <xdr:row>161</xdr:row>
      <xdr:rowOff>160200</xdr:rowOff>
    </xdr:from>
    <xdr:to>
      <xdr:col>23</xdr:col>
      <xdr:colOff>564105</xdr:colOff>
      <xdr:row>170</xdr:row>
      <xdr:rowOff>100050</xdr:rowOff>
    </xdr:to>
    <xdr:pic>
      <xdr:nvPicPr>
        <xdr:cNvPr id="90" name="Imagem 20">
          <a:extLst>
            <a:ext uri="{FF2B5EF4-FFF2-40B4-BE49-F238E27FC236}">
              <a16:creationId xmlns:a16="http://schemas.microsoft.com/office/drawing/2014/main" id="{EC5E5A43-7D93-46E8-9D92-01BA5A280624}"/>
            </a:ext>
          </a:extLst>
        </xdr:cNvPr>
        <xdr:cNvPicPr/>
      </xdr:nvPicPr>
      <xdr:blipFill>
        <a:blip xmlns:r="http://schemas.openxmlformats.org/officeDocument/2006/relationships" r:embed="rId77"/>
        <a:stretch/>
      </xdr:blipFill>
      <xdr:spPr>
        <a:xfrm>
          <a:off x="68040" y="37726800"/>
          <a:ext cx="3344040" cy="165435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357</xdr:row>
      <xdr:rowOff>12960</xdr:rowOff>
    </xdr:from>
    <xdr:to>
      <xdr:col>22</xdr:col>
      <xdr:colOff>353535</xdr:colOff>
      <xdr:row>363</xdr:row>
      <xdr:rowOff>125130</xdr:rowOff>
    </xdr:to>
    <xdr:pic>
      <xdr:nvPicPr>
        <xdr:cNvPr id="91" name="Imagem 22">
          <a:extLst>
            <a:ext uri="{FF2B5EF4-FFF2-40B4-BE49-F238E27FC236}">
              <a16:creationId xmlns:a16="http://schemas.microsoft.com/office/drawing/2014/main" id="{1D3A672F-24C9-4033-B52F-8F4204039BB6}"/>
            </a:ext>
          </a:extLst>
        </xdr:cNvPr>
        <xdr:cNvPicPr/>
      </xdr:nvPicPr>
      <xdr:blipFill>
        <a:blip xmlns:r="http://schemas.openxmlformats.org/officeDocument/2006/relationships" r:embed="rId78"/>
        <a:stretch/>
      </xdr:blipFill>
      <xdr:spPr>
        <a:xfrm>
          <a:off x="0" y="86433285"/>
          <a:ext cx="1620360" cy="12551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1604520</xdr:colOff>
      <xdr:row>358</xdr:row>
      <xdr:rowOff>33840</xdr:rowOff>
    </xdr:from>
    <xdr:to>
      <xdr:col>22</xdr:col>
      <xdr:colOff>96030</xdr:colOff>
      <xdr:row>363</xdr:row>
      <xdr:rowOff>166260</xdr:rowOff>
    </xdr:to>
    <xdr:pic>
      <xdr:nvPicPr>
        <xdr:cNvPr id="92" name="Imagem 23">
          <a:extLst>
            <a:ext uri="{FF2B5EF4-FFF2-40B4-BE49-F238E27FC236}">
              <a16:creationId xmlns:a16="http://schemas.microsoft.com/office/drawing/2014/main" id="{851FE902-89B7-4EB8-AEDC-D84F06385B59}"/>
            </a:ext>
          </a:extLst>
        </xdr:cNvPr>
        <xdr:cNvPicPr/>
      </xdr:nvPicPr>
      <xdr:blipFill>
        <a:blip xmlns:r="http://schemas.openxmlformats.org/officeDocument/2006/relationships" r:embed="rId79"/>
        <a:stretch/>
      </xdr:blipFill>
      <xdr:spPr>
        <a:xfrm>
          <a:off x="1604520" y="86701815"/>
          <a:ext cx="1406160" cy="1084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54360</xdr:colOff>
      <xdr:row>1296</xdr:row>
      <xdr:rowOff>153720</xdr:rowOff>
    </xdr:from>
    <xdr:to>
      <xdr:col>23</xdr:col>
      <xdr:colOff>480225</xdr:colOff>
      <xdr:row>1303</xdr:row>
      <xdr:rowOff>65880</xdr:rowOff>
    </xdr:to>
    <xdr:pic>
      <xdr:nvPicPr>
        <xdr:cNvPr id="93" name="Imagem 199">
          <a:extLst>
            <a:ext uri="{FF2B5EF4-FFF2-40B4-BE49-F238E27FC236}">
              <a16:creationId xmlns:a16="http://schemas.microsoft.com/office/drawing/2014/main" id="{800B8C82-EBF6-49F3-BD35-7ACC5ECA3434}"/>
            </a:ext>
          </a:extLst>
        </xdr:cNvPr>
        <xdr:cNvPicPr/>
      </xdr:nvPicPr>
      <xdr:blipFill>
        <a:blip xmlns:r="http://schemas.openxmlformats.org/officeDocument/2006/relationships" r:embed="rId80"/>
        <a:stretch/>
      </xdr:blipFill>
      <xdr:spPr>
        <a:xfrm rot="21418200">
          <a:off x="54360" y="278493270"/>
          <a:ext cx="3273840" cy="1245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1452240</xdr:colOff>
      <xdr:row>1305</xdr:row>
      <xdr:rowOff>42120</xdr:rowOff>
    </xdr:from>
    <xdr:to>
      <xdr:col>22</xdr:col>
      <xdr:colOff>698910</xdr:colOff>
      <xdr:row>1311</xdr:row>
      <xdr:rowOff>54360</xdr:rowOff>
    </xdr:to>
    <xdr:pic>
      <xdr:nvPicPr>
        <xdr:cNvPr id="94" name="Imagem 200">
          <a:extLst>
            <a:ext uri="{FF2B5EF4-FFF2-40B4-BE49-F238E27FC236}">
              <a16:creationId xmlns:a16="http://schemas.microsoft.com/office/drawing/2014/main" id="{426F9210-A8DD-4151-BE96-3CA702AE9D80}"/>
            </a:ext>
          </a:extLst>
        </xdr:cNvPr>
        <xdr:cNvPicPr/>
      </xdr:nvPicPr>
      <xdr:blipFill>
        <a:blip xmlns:r="http://schemas.openxmlformats.org/officeDocument/2006/relationships" r:embed="rId81"/>
        <a:stretch/>
      </xdr:blipFill>
      <xdr:spPr>
        <a:xfrm>
          <a:off x="1452240" y="280096170"/>
          <a:ext cx="1856520" cy="1155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345240</xdr:colOff>
      <xdr:row>1304</xdr:row>
      <xdr:rowOff>13320</xdr:rowOff>
    </xdr:from>
    <xdr:to>
      <xdr:col>22</xdr:col>
      <xdr:colOff>75615</xdr:colOff>
      <xdr:row>1310</xdr:row>
      <xdr:rowOff>190440</xdr:rowOff>
    </xdr:to>
    <xdr:pic>
      <xdr:nvPicPr>
        <xdr:cNvPr id="95" name="Imagem 202">
          <a:extLst>
            <a:ext uri="{FF2B5EF4-FFF2-40B4-BE49-F238E27FC236}">
              <a16:creationId xmlns:a16="http://schemas.microsoft.com/office/drawing/2014/main" id="{FA81F062-A439-4A7C-AAF3-8F818E1247D3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345240" y="279876870"/>
          <a:ext cx="997200" cy="1320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378000</xdr:colOff>
      <xdr:row>1314</xdr:row>
      <xdr:rowOff>11520</xdr:rowOff>
    </xdr:from>
    <xdr:to>
      <xdr:col>23</xdr:col>
      <xdr:colOff>375825</xdr:colOff>
      <xdr:row>1322</xdr:row>
      <xdr:rowOff>15480</xdr:rowOff>
    </xdr:to>
    <xdr:pic>
      <xdr:nvPicPr>
        <xdr:cNvPr id="96" name="Imagem 228">
          <a:extLst>
            <a:ext uri="{FF2B5EF4-FFF2-40B4-BE49-F238E27FC236}">
              <a16:creationId xmlns:a16="http://schemas.microsoft.com/office/drawing/2014/main" id="{11730AEE-8B69-4CEF-9E28-D452C4637CCE}"/>
            </a:ext>
          </a:extLst>
        </xdr:cNvPr>
        <xdr:cNvPicPr/>
      </xdr:nvPicPr>
      <xdr:blipFill>
        <a:blip xmlns:r="http://schemas.openxmlformats.org/officeDocument/2006/relationships" r:embed="rId83"/>
        <a:stretch/>
      </xdr:blipFill>
      <xdr:spPr>
        <a:xfrm>
          <a:off x="378000" y="281951520"/>
          <a:ext cx="2845800" cy="152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1327</xdr:row>
      <xdr:rowOff>51480</xdr:rowOff>
    </xdr:from>
    <xdr:to>
      <xdr:col>23</xdr:col>
      <xdr:colOff>523785</xdr:colOff>
      <xdr:row>1334</xdr:row>
      <xdr:rowOff>144720</xdr:rowOff>
    </xdr:to>
    <xdr:pic>
      <xdr:nvPicPr>
        <xdr:cNvPr id="97" name="Imagem 232">
          <a:extLst>
            <a:ext uri="{FF2B5EF4-FFF2-40B4-BE49-F238E27FC236}">
              <a16:creationId xmlns:a16="http://schemas.microsoft.com/office/drawing/2014/main" id="{3D941B2F-FA5D-47FD-8CCA-6E363F092DDF}"/>
            </a:ext>
          </a:extLst>
        </xdr:cNvPr>
        <xdr:cNvPicPr/>
      </xdr:nvPicPr>
      <xdr:blipFill>
        <a:blip xmlns:r="http://schemas.openxmlformats.org/officeDocument/2006/relationships" r:embed="rId84"/>
        <a:stretch/>
      </xdr:blipFill>
      <xdr:spPr>
        <a:xfrm>
          <a:off x="0" y="284639430"/>
          <a:ext cx="3371760" cy="14267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156960</xdr:colOff>
      <xdr:row>1337</xdr:row>
      <xdr:rowOff>50760</xdr:rowOff>
    </xdr:from>
    <xdr:to>
      <xdr:col>23</xdr:col>
      <xdr:colOff>495705</xdr:colOff>
      <xdr:row>1346</xdr:row>
      <xdr:rowOff>50400</xdr:rowOff>
    </xdr:to>
    <xdr:pic>
      <xdr:nvPicPr>
        <xdr:cNvPr id="98" name="Imagem 235">
          <a:extLst>
            <a:ext uri="{FF2B5EF4-FFF2-40B4-BE49-F238E27FC236}">
              <a16:creationId xmlns:a16="http://schemas.microsoft.com/office/drawing/2014/main" id="{C039DA5A-DFBC-4857-8708-E60AB0B5C38E}"/>
            </a:ext>
          </a:extLst>
        </xdr:cNvPr>
        <xdr:cNvPicPr/>
      </xdr:nvPicPr>
      <xdr:blipFill>
        <a:blip xmlns:r="http://schemas.openxmlformats.org/officeDocument/2006/relationships" r:embed="rId85"/>
        <a:stretch/>
      </xdr:blipFill>
      <xdr:spPr>
        <a:xfrm>
          <a:off x="156960" y="286715160"/>
          <a:ext cx="3186720" cy="17141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1355</xdr:row>
      <xdr:rowOff>2520</xdr:rowOff>
    </xdr:from>
    <xdr:to>
      <xdr:col>23</xdr:col>
      <xdr:colOff>574905</xdr:colOff>
      <xdr:row>1364</xdr:row>
      <xdr:rowOff>65520</xdr:rowOff>
    </xdr:to>
    <xdr:pic>
      <xdr:nvPicPr>
        <xdr:cNvPr id="99" name="Imagem 269">
          <a:extLst>
            <a:ext uri="{FF2B5EF4-FFF2-40B4-BE49-F238E27FC236}">
              <a16:creationId xmlns:a16="http://schemas.microsoft.com/office/drawing/2014/main" id="{CB1A54F2-2D47-4B9D-8E6B-76A74C6A1508}"/>
            </a:ext>
          </a:extLst>
        </xdr:cNvPr>
        <xdr:cNvPicPr/>
      </xdr:nvPicPr>
      <xdr:blipFill>
        <a:blip xmlns:r="http://schemas.openxmlformats.org/officeDocument/2006/relationships" r:embed="rId86"/>
        <a:stretch/>
      </xdr:blipFill>
      <xdr:spPr>
        <a:xfrm>
          <a:off x="0" y="290267370"/>
          <a:ext cx="3422880" cy="1777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294480</xdr:colOff>
      <xdr:row>1369</xdr:row>
      <xdr:rowOff>3240</xdr:rowOff>
    </xdr:from>
    <xdr:to>
      <xdr:col>23</xdr:col>
      <xdr:colOff>526305</xdr:colOff>
      <xdr:row>1376</xdr:row>
      <xdr:rowOff>138960</xdr:rowOff>
    </xdr:to>
    <xdr:pic>
      <xdr:nvPicPr>
        <xdr:cNvPr id="100" name="Imagem 273">
          <a:extLst>
            <a:ext uri="{FF2B5EF4-FFF2-40B4-BE49-F238E27FC236}">
              <a16:creationId xmlns:a16="http://schemas.microsoft.com/office/drawing/2014/main" id="{CB45AFDF-A2B2-4647-9D6B-A0278EE91D43}"/>
            </a:ext>
          </a:extLst>
        </xdr:cNvPr>
        <xdr:cNvPicPr/>
      </xdr:nvPicPr>
      <xdr:blipFill>
        <a:blip xmlns:r="http://schemas.openxmlformats.org/officeDocument/2006/relationships" r:embed="rId87"/>
        <a:stretch/>
      </xdr:blipFill>
      <xdr:spPr>
        <a:xfrm>
          <a:off x="294480" y="293106540"/>
          <a:ext cx="3079800" cy="1469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68040</xdr:colOff>
      <xdr:row>1383</xdr:row>
      <xdr:rowOff>171000</xdr:rowOff>
    </xdr:from>
    <xdr:to>
      <xdr:col>23</xdr:col>
      <xdr:colOff>401385</xdr:colOff>
      <xdr:row>1390</xdr:row>
      <xdr:rowOff>122760</xdr:rowOff>
    </xdr:to>
    <xdr:pic>
      <xdr:nvPicPr>
        <xdr:cNvPr id="101" name="Imagem 277">
          <a:extLst>
            <a:ext uri="{FF2B5EF4-FFF2-40B4-BE49-F238E27FC236}">
              <a16:creationId xmlns:a16="http://schemas.microsoft.com/office/drawing/2014/main" id="{8770668F-049F-4C4A-B9A8-CEDCBEBA5F52}"/>
            </a:ext>
          </a:extLst>
        </xdr:cNvPr>
        <xdr:cNvPicPr/>
      </xdr:nvPicPr>
      <xdr:blipFill>
        <a:blip xmlns:r="http://schemas.openxmlformats.org/officeDocument/2006/relationships" r:embed="rId88"/>
        <a:stretch/>
      </xdr:blipFill>
      <xdr:spPr>
        <a:xfrm>
          <a:off x="68040" y="296112750"/>
          <a:ext cx="3181320" cy="1285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34920</xdr:colOff>
      <xdr:row>1399</xdr:row>
      <xdr:rowOff>131400</xdr:rowOff>
    </xdr:from>
    <xdr:to>
      <xdr:col>23</xdr:col>
      <xdr:colOff>463305</xdr:colOff>
      <xdr:row>1405</xdr:row>
      <xdr:rowOff>124920</xdr:rowOff>
    </xdr:to>
    <xdr:pic>
      <xdr:nvPicPr>
        <xdr:cNvPr id="102" name="Imagem 279">
          <a:extLst>
            <a:ext uri="{FF2B5EF4-FFF2-40B4-BE49-F238E27FC236}">
              <a16:creationId xmlns:a16="http://schemas.microsoft.com/office/drawing/2014/main" id="{C17F6ABF-857E-46E2-82C0-16376B9A9070}"/>
            </a:ext>
          </a:extLst>
        </xdr:cNvPr>
        <xdr:cNvPicPr/>
      </xdr:nvPicPr>
      <xdr:blipFill>
        <a:blip xmlns:r="http://schemas.openxmlformats.org/officeDocument/2006/relationships" r:embed="rId89"/>
        <a:stretch/>
      </xdr:blipFill>
      <xdr:spPr>
        <a:xfrm>
          <a:off x="34920" y="299292600"/>
          <a:ext cx="3276360" cy="1136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480600</xdr:colOff>
      <xdr:row>1411</xdr:row>
      <xdr:rowOff>43920</xdr:rowOff>
    </xdr:from>
    <xdr:to>
      <xdr:col>23</xdr:col>
      <xdr:colOff>245865</xdr:colOff>
      <xdr:row>1419</xdr:row>
      <xdr:rowOff>79560</xdr:rowOff>
    </xdr:to>
    <xdr:pic>
      <xdr:nvPicPr>
        <xdr:cNvPr id="103" name="Imagem 282">
          <a:extLst>
            <a:ext uri="{FF2B5EF4-FFF2-40B4-BE49-F238E27FC236}">
              <a16:creationId xmlns:a16="http://schemas.microsoft.com/office/drawing/2014/main" id="{F69DD7DD-3B99-4BEE-AFC4-21AE163D6BC8}"/>
            </a:ext>
          </a:extLst>
        </xdr:cNvPr>
        <xdr:cNvPicPr/>
      </xdr:nvPicPr>
      <xdr:blipFill>
        <a:blip xmlns:r="http://schemas.openxmlformats.org/officeDocument/2006/relationships" r:embed="rId90"/>
        <a:stretch/>
      </xdr:blipFill>
      <xdr:spPr>
        <a:xfrm>
          <a:off x="480600" y="301662570"/>
          <a:ext cx="2613240" cy="1559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107640</xdr:colOff>
      <xdr:row>1443</xdr:row>
      <xdr:rowOff>97920</xdr:rowOff>
    </xdr:from>
    <xdr:to>
      <xdr:col>22</xdr:col>
      <xdr:colOff>553695</xdr:colOff>
      <xdr:row>1448</xdr:row>
      <xdr:rowOff>13320</xdr:rowOff>
    </xdr:to>
    <xdr:pic>
      <xdr:nvPicPr>
        <xdr:cNvPr id="104" name="Imagem 284">
          <a:extLst>
            <a:ext uri="{FF2B5EF4-FFF2-40B4-BE49-F238E27FC236}">
              <a16:creationId xmlns:a16="http://schemas.microsoft.com/office/drawing/2014/main" id="{48E6992B-F0C9-4840-94CF-05A733D1E2A6}"/>
            </a:ext>
          </a:extLst>
        </xdr:cNvPr>
        <xdr:cNvPicPr/>
      </xdr:nvPicPr>
      <xdr:blipFill>
        <a:blip xmlns:r="http://schemas.openxmlformats.org/officeDocument/2006/relationships" r:embed="rId91"/>
        <a:stretch/>
      </xdr:blipFill>
      <xdr:spPr>
        <a:xfrm flipH="1">
          <a:off x="107640" y="308326920"/>
          <a:ext cx="1712880" cy="8679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1497240</xdr:colOff>
      <xdr:row>1446</xdr:row>
      <xdr:rowOff>129600</xdr:rowOff>
    </xdr:from>
    <xdr:to>
      <xdr:col>22</xdr:col>
      <xdr:colOff>643980</xdr:colOff>
      <xdr:row>1451</xdr:row>
      <xdr:rowOff>113040</xdr:rowOff>
    </xdr:to>
    <xdr:pic>
      <xdr:nvPicPr>
        <xdr:cNvPr id="105" name="Imagem 285">
          <a:extLst>
            <a:ext uri="{FF2B5EF4-FFF2-40B4-BE49-F238E27FC236}">
              <a16:creationId xmlns:a16="http://schemas.microsoft.com/office/drawing/2014/main" id="{E081B950-708A-45DD-88EE-A257E950348B}"/>
            </a:ext>
          </a:extLst>
        </xdr:cNvPr>
        <xdr:cNvPicPr/>
      </xdr:nvPicPr>
      <xdr:blipFill>
        <a:blip xmlns:r="http://schemas.openxmlformats.org/officeDocument/2006/relationships" r:embed="rId92"/>
        <a:stretch/>
      </xdr:blipFill>
      <xdr:spPr>
        <a:xfrm>
          <a:off x="1497240" y="308930100"/>
          <a:ext cx="1851840" cy="9359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199800</xdr:colOff>
      <xdr:row>1454</xdr:row>
      <xdr:rowOff>58320</xdr:rowOff>
    </xdr:from>
    <xdr:to>
      <xdr:col>22</xdr:col>
      <xdr:colOff>519495</xdr:colOff>
      <xdr:row>1459</xdr:row>
      <xdr:rowOff>164160</xdr:rowOff>
    </xdr:to>
    <xdr:pic>
      <xdr:nvPicPr>
        <xdr:cNvPr id="106" name="Imagem 164">
          <a:extLst>
            <a:ext uri="{FF2B5EF4-FFF2-40B4-BE49-F238E27FC236}">
              <a16:creationId xmlns:a16="http://schemas.microsoft.com/office/drawing/2014/main" id="{82700ECB-70E7-4851-806E-E68B830993D4}"/>
            </a:ext>
          </a:extLst>
        </xdr:cNvPr>
        <xdr:cNvPicPr/>
      </xdr:nvPicPr>
      <xdr:blipFill>
        <a:blip xmlns:r="http://schemas.openxmlformats.org/officeDocument/2006/relationships" r:embed="rId93"/>
        <a:stretch/>
      </xdr:blipFill>
      <xdr:spPr>
        <a:xfrm>
          <a:off x="199800" y="310554270"/>
          <a:ext cx="1586520" cy="1058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1822680</xdr:colOff>
      <xdr:row>1456</xdr:row>
      <xdr:rowOff>84960</xdr:rowOff>
    </xdr:from>
    <xdr:to>
      <xdr:col>22</xdr:col>
      <xdr:colOff>51360</xdr:colOff>
      <xdr:row>1461</xdr:row>
      <xdr:rowOff>360</xdr:rowOff>
    </xdr:to>
    <xdr:pic>
      <xdr:nvPicPr>
        <xdr:cNvPr id="107" name="Imagem 168">
          <a:extLst>
            <a:ext uri="{FF2B5EF4-FFF2-40B4-BE49-F238E27FC236}">
              <a16:creationId xmlns:a16="http://schemas.microsoft.com/office/drawing/2014/main" id="{7FD7ACC7-D7C0-42DE-BCBE-BC88F45A636A}"/>
            </a:ext>
          </a:extLst>
        </xdr:cNvPr>
        <xdr:cNvPicPr/>
      </xdr:nvPicPr>
      <xdr:blipFill>
        <a:blip xmlns:r="http://schemas.openxmlformats.org/officeDocument/2006/relationships" r:embed="rId94"/>
        <a:stretch/>
      </xdr:blipFill>
      <xdr:spPr>
        <a:xfrm>
          <a:off x="1822680" y="310961910"/>
          <a:ext cx="1581480" cy="8679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1464</xdr:row>
      <xdr:rowOff>76680</xdr:rowOff>
    </xdr:from>
    <xdr:to>
      <xdr:col>22</xdr:col>
      <xdr:colOff>784815</xdr:colOff>
      <xdr:row>1471</xdr:row>
      <xdr:rowOff>113760</xdr:rowOff>
    </xdr:to>
    <xdr:pic>
      <xdr:nvPicPr>
        <xdr:cNvPr id="108" name="Imagem 170">
          <a:extLst>
            <a:ext uri="{FF2B5EF4-FFF2-40B4-BE49-F238E27FC236}">
              <a16:creationId xmlns:a16="http://schemas.microsoft.com/office/drawing/2014/main" id="{BA130179-E685-46A4-9AA1-B9452A6BEA9E}"/>
            </a:ext>
          </a:extLst>
        </xdr:cNvPr>
        <xdr:cNvPicPr/>
      </xdr:nvPicPr>
      <xdr:blipFill>
        <a:blip xmlns:r="http://schemas.openxmlformats.org/officeDocument/2006/relationships" r:embed="rId95"/>
        <a:stretch/>
      </xdr:blipFill>
      <xdr:spPr>
        <a:xfrm>
          <a:off x="0" y="312649080"/>
          <a:ext cx="2051640" cy="1370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1503360</xdr:colOff>
      <xdr:row>1467</xdr:row>
      <xdr:rowOff>106560</xdr:rowOff>
    </xdr:from>
    <xdr:to>
      <xdr:col>22</xdr:col>
      <xdr:colOff>760170</xdr:colOff>
      <xdr:row>1475</xdr:row>
      <xdr:rowOff>1800</xdr:rowOff>
    </xdr:to>
    <xdr:pic>
      <xdr:nvPicPr>
        <xdr:cNvPr id="109" name="Imagem 171">
          <a:extLst>
            <a:ext uri="{FF2B5EF4-FFF2-40B4-BE49-F238E27FC236}">
              <a16:creationId xmlns:a16="http://schemas.microsoft.com/office/drawing/2014/main" id="{A91D5FF3-B0F5-4087-B7B6-78F2AA13BA74}"/>
            </a:ext>
          </a:extLst>
        </xdr:cNvPr>
        <xdr:cNvPicPr/>
      </xdr:nvPicPr>
      <xdr:blipFill>
        <a:blip xmlns:r="http://schemas.openxmlformats.org/officeDocument/2006/relationships" r:embed="rId96"/>
        <a:stretch/>
      </xdr:blipFill>
      <xdr:spPr>
        <a:xfrm>
          <a:off x="1503360" y="313250460"/>
          <a:ext cx="1980960" cy="141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210240</xdr:colOff>
      <xdr:row>1478</xdr:row>
      <xdr:rowOff>56520</xdr:rowOff>
    </xdr:from>
    <xdr:to>
      <xdr:col>22</xdr:col>
      <xdr:colOff>255615</xdr:colOff>
      <xdr:row>1483</xdr:row>
      <xdr:rowOff>121680</xdr:rowOff>
    </xdr:to>
    <xdr:pic>
      <xdr:nvPicPr>
        <xdr:cNvPr id="110" name="Imagem 185">
          <a:extLst>
            <a:ext uri="{FF2B5EF4-FFF2-40B4-BE49-F238E27FC236}">
              <a16:creationId xmlns:a16="http://schemas.microsoft.com/office/drawing/2014/main" id="{5212BBAF-8CC8-40D0-9F61-F476AF2074DE}"/>
            </a:ext>
          </a:extLst>
        </xdr:cNvPr>
        <xdr:cNvPicPr/>
      </xdr:nvPicPr>
      <xdr:blipFill>
        <a:blip xmlns:r="http://schemas.openxmlformats.org/officeDocument/2006/relationships" r:embed="rId97"/>
        <a:stretch/>
      </xdr:blipFill>
      <xdr:spPr>
        <a:xfrm>
          <a:off x="210240" y="315467370"/>
          <a:ext cx="1312200" cy="1017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1927080</xdr:colOff>
      <xdr:row>1479</xdr:row>
      <xdr:rowOff>11880</xdr:rowOff>
    </xdr:from>
    <xdr:to>
      <xdr:col>21</xdr:col>
      <xdr:colOff>691260</xdr:colOff>
      <xdr:row>1484</xdr:row>
      <xdr:rowOff>38880</xdr:rowOff>
    </xdr:to>
    <xdr:pic>
      <xdr:nvPicPr>
        <xdr:cNvPr id="111" name="Imagem 186">
          <a:extLst>
            <a:ext uri="{FF2B5EF4-FFF2-40B4-BE49-F238E27FC236}">
              <a16:creationId xmlns:a16="http://schemas.microsoft.com/office/drawing/2014/main" id="{FB242EFF-E3EA-4A41-B6BC-3A7A1E179A6C}"/>
            </a:ext>
          </a:extLst>
        </xdr:cNvPr>
        <xdr:cNvPicPr/>
      </xdr:nvPicPr>
      <xdr:blipFill>
        <a:blip xmlns:r="http://schemas.openxmlformats.org/officeDocument/2006/relationships" r:embed="rId98"/>
        <a:stretch/>
      </xdr:blipFill>
      <xdr:spPr>
        <a:xfrm>
          <a:off x="1927080" y="315613230"/>
          <a:ext cx="1316880" cy="979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283680</xdr:colOff>
      <xdr:row>1487</xdr:row>
      <xdr:rowOff>167400</xdr:rowOff>
    </xdr:from>
    <xdr:to>
      <xdr:col>22</xdr:col>
      <xdr:colOff>107295</xdr:colOff>
      <xdr:row>1494</xdr:row>
      <xdr:rowOff>67680</xdr:rowOff>
    </xdr:to>
    <xdr:pic>
      <xdr:nvPicPr>
        <xdr:cNvPr id="112" name="Imagem 189">
          <a:extLst>
            <a:ext uri="{FF2B5EF4-FFF2-40B4-BE49-F238E27FC236}">
              <a16:creationId xmlns:a16="http://schemas.microsoft.com/office/drawing/2014/main" id="{A9F23D6A-3E4B-405B-A3F6-1F71B3B74846}"/>
            </a:ext>
          </a:extLst>
        </xdr:cNvPr>
        <xdr:cNvPicPr/>
      </xdr:nvPicPr>
      <xdr:blipFill>
        <a:blip xmlns:r="http://schemas.openxmlformats.org/officeDocument/2006/relationships" r:embed="rId99"/>
        <a:stretch/>
      </xdr:blipFill>
      <xdr:spPr>
        <a:xfrm>
          <a:off x="283680" y="317464200"/>
          <a:ext cx="1090440" cy="1233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1739520</xdr:colOff>
      <xdr:row>1488</xdr:row>
      <xdr:rowOff>79560</xdr:rowOff>
    </xdr:from>
    <xdr:to>
      <xdr:col>21</xdr:col>
      <xdr:colOff>972930</xdr:colOff>
      <xdr:row>1494</xdr:row>
      <xdr:rowOff>60840</xdr:rowOff>
    </xdr:to>
    <xdr:pic>
      <xdr:nvPicPr>
        <xdr:cNvPr id="113" name="Imagem 190">
          <a:extLst>
            <a:ext uri="{FF2B5EF4-FFF2-40B4-BE49-F238E27FC236}">
              <a16:creationId xmlns:a16="http://schemas.microsoft.com/office/drawing/2014/main" id="{8FB84075-A2EA-41F2-9DB1-3976C3BACA4E}"/>
            </a:ext>
          </a:extLst>
        </xdr:cNvPr>
        <xdr:cNvPicPr/>
      </xdr:nvPicPr>
      <xdr:blipFill>
        <a:blip xmlns:r="http://schemas.openxmlformats.org/officeDocument/2006/relationships" r:embed="rId100"/>
        <a:stretch/>
      </xdr:blipFill>
      <xdr:spPr>
        <a:xfrm>
          <a:off x="1739520" y="317566860"/>
          <a:ext cx="1424160" cy="1124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66240</xdr:colOff>
      <xdr:row>1498</xdr:row>
      <xdr:rowOff>109440</xdr:rowOff>
    </xdr:from>
    <xdr:to>
      <xdr:col>22</xdr:col>
      <xdr:colOff>415815</xdr:colOff>
      <xdr:row>1503</xdr:row>
      <xdr:rowOff>42120</xdr:rowOff>
    </xdr:to>
    <xdr:pic>
      <xdr:nvPicPr>
        <xdr:cNvPr id="114" name="Imagem 195">
          <a:extLst>
            <a:ext uri="{FF2B5EF4-FFF2-40B4-BE49-F238E27FC236}">
              <a16:creationId xmlns:a16="http://schemas.microsoft.com/office/drawing/2014/main" id="{E88760FD-32BB-43A8-ACF2-FB14FFB4820D}"/>
            </a:ext>
          </a:extLst>
        </xdr:cNvPr>
        <xdr:cNvPicPr/>
      </xdr:nvPicPr>
      <xdr:blipFill>
        <a:blip xmlns:r="http://schemas.openxmlformats.org/officeDocument/2006/relationships" r:embed="rId101"/>
        <a:stretch/>
      </xdr:blipFill>
      <xdr:spPr>
        <a:xfrm>
          <a:off x="66240" y="319673190"/>
          <a:ext cx="1616400" cy="8851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1784520</xdr:colOff>
      <xdr:row>1498</xdr:row>
      <xdr:rowOff>14760</xdr:rowOff>
    </xdr:from>
    <xdr:to>
      <xdr:col>22</xdr:col>
      <xdr:colOff>123240</xdr:colOff>
      <xdr:row>1503</xdr:row>
      <xdr:rowOff>110520</xdr:rowOff>
    </xdr:to>
    <xdr:pic>
      <xdr:nvPicPr>
        <xdr:cNvPr id="115" name="Imagem 197">
          <a:extLst>
            <a:ext uri="{FF2B5EF4-FFF2-40B4-BE49-F238E27FC236}">
              <a16:creationId xmlns:a16="http://schemas.microsoft.com/office/drawing/2014/main" id="{BF41A9B6-EC2B-43B3-ADFF-B452A60DF43D}"/>
            </a:ext>
          </a:extLst>
        </xdr:cNvPr>
        <xdr:cNvPicPr/>
      </xdr:nvPicPr>
      <xdr:blipFill>
        <a:blip xmlns:r="http://schemas.openxmlformats.org/officeDocument/2006/relationships" r:embed="rId102"/>
        <a:stretch/>
      </xdr:blipFill>
      <xdr:spPr>
        <a:xfrm>
          <a:off x="1784520" y="319578510"/>
          <a:ext cx="1615320" cy="1048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456120</xdr:colOff>
      <xdr:row>1530</xdr:row>
      <xdr:rowOff>28800</xdr:rowOff>
    </xdr:from>
    <xdr:to>
      <xdr:col>23</xdr:col>
      <xdr:colOff>304185</xdr:colOff>
      <xdr:row>1537</xdr:row>
      <xdr:rowOff>55800</xdr:rowOff>
    </xdr:to>
    <xdr:pic>
      <xdr:nvPicPr>
        <xdr:cNvPr id="116" name="Imagem 203">
          <a:extLst>
            <a:ext uri="{FF2B5EF4-FFF2-40B4-BE49-F238E27FC236}">
              <a16:creationId xmlns:a16="http://schemas.microsoft.com/office/drawing/2014/main" id="{20E3391F-36D6-43CF-851C-58BEFCCD9CB5}"/>
            </a:ext>
          </a:extLst>
        </xdr:cNvPr>
        <xdr:cNvPicPr/>
      </xdr:nvPicPr>
      <xdr:blipFill>
        <a:blip xmlns:r="http://schemas.openxmlformats.org/officeDocument/2006/relationships" r:embed="rId103"/>
        <a:stretch/>
      </xdr:blipFill>
      <xdr:spPr>
        <a:xfrm>
          <a:off x="456120" y="326679150"/>
          <a:ext cx="2696040" cy="1360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496</xdr:row>
      <xdr:rowOff>46440</xdr:rowOff>
    </xdr:from>
    <xdr:to>
      <xdr:col>23</xdr:col>
      <xdr:colOff>374025</xdr:colOff>
      <xdr:row>501</xdr:row>
      <xdr:rowOff>188280</xdr:rowOff>
    </xdr:to>
    <xdr:pic>
      <xdr:nvPicPr>
        <xdr:cNvPr id="117" name="Imagem 204">
          <a:extLst>
            <a:ext uri="{FF2B5EF4-FFF2-40B4-BE49-F238E27FC236}">
              <a16:creationId xmlns:a16="http://schemas.microsoft.com/office/drawing/2014/main" id="{324908FE-4475-419F-886A-E63BC6DDD871}"/>
            </a:ext>
          </a:extLst>
        </xdr:cNvPr>
        <xdr:cNvPicPr/>
      </xdr:nvPicPr>
      <xdr:blipFill>
        <a:blip xmlns:r="http://schemas.openxmlformats.org/officeDocument/2006/relationships" r:embed="rId104"/>
        <a:stretch/>
      </xdr:blipFill>
      <xdr:spPr>
        <a:xfrm>
          <a:off x="0" y="119175615"/>
          <a:ext cx="3222000" cy="1094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377280</xdr:colOff>
      <xdr:row>1542</xdr:row>
      <xdr:rowOff>80640</xdr:rowOff>
    </xdr:from>
    <xdr:to>
      <xdr:col>23</xdr:col>
      <xdr:colOff>193305</xdr:colOff>
      <xdr:row>1550</xdr:row>
      <xdr:rowOff>182880</xdr:rowOff>
    </xdr:to>
    <xdr:pic>
      <xdr:nvPicPr>
        <xdr:cNvPr id="118" name="Imagem 206">
          <a:extLst>
            <a:ext uri="{FF2B5EF4-FFF2-40B4-BE49-F238E27FC236}">
              <a16:creationId xmlns:a16="http://schemas.microsoft.com/office/drawing/2014/main" id="{EA420738-908B-4212-954A-C2120F541F90}"/>
            </a:ext>
          </a:extLst>
        </xdr:cNvPr>
        <xdr:cNvPicPr/>
      </xdr:nvPicPr>
      <xdr:blipFill>
        <a:blip xmlns:r="http://schemas.openxmlformats.org/officeDocument/2006/relationships" r:embed="rId105"/>
        <a:stretch/>
      </xdr:blipFill>
      <xdr:spPr>
        <a:xfrm>
          <a:off x="377280" y="329188440"/>
          <a:ext cx="2664000" cy="1626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60120</xdr:colOff>
      <xdr:row>1588</xdr:row>
      <xdr:rowOff>97200</xdr:rowOff>
    </xdr:from>
    <xdr:to>
      <xdr:col>24</xdr:col>
      <xdr:colOff>43560</xdr:colOff>
      <xdr:row>1594</xdr:row>
      <xdr:rowOff>14040</xdr:rowOff>
    </xdr:to>
    <xdr:pic>
      <xdr:nvPicPr>
        <xdr:cNvPr id="119" name="Imagem 174">
          <a:extLst>
            <a:ext uri="{FF2B5EF4-FFF2-40B4-BE49-F238E27FC236}">
              <a16:creationId xmlns:a16="http://schemas.microsoft.com/office/drawing/2014/main" id="{75652A60-316D-409A-A209-178CD886EFFE}"/>
            </a:ext>
          </a:extLst>
        </xdr:cNvPr>
        <xdr:cNvPicPr/>
      </xdr:nvPicPr>
      <xdr:blipFill>
        <a:blip xmlns:r="http://schemas.openxmlformats.org/officeDocument/2006/relationships" r:embed="rId106"/>
        <a:stretch/>
      </xdr:blipFill>
      <xdr:spPr>
        <a:xfrm>
          <a:off x="60120" y="338310900"/>
          <a:ext cx="3412440" cy="1059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363600</xdr:colOff>
      <xdr:row>1603</xdr:row>
      <xdr:rowOff>54720</xdr:rowOff>
    </xdr:from>
    <xdr:to>
      <xdr:col>23</xdr:col>
      <xdr:colOff>303465</xdr:colOff>
      <xdr:row>1611</xdr:row>
      <xdr:rowOff>147600</xdr:rowOff>
    </xdr:to>
    <xdr:pic>
      <xdr:nvPicPr>
        <xdr:cNvPr id="120" name="Imagem 188">
          <a:extLst>
            <a:ext uri="{FF2B5EF4-FFF2-40B4-BE49-F238E27FC236}">
              <a16:creationId xmlns:a16="http://schemas.microsoft.com/office/drawing/2014/main" id="{C807731D-4D30-49F7-AA6A-FACF8A967F4E}"/>
            </a:ext>
          </a:extLst>
        </xdr:cNvPr>
        <xdr:cNvPicPr/>
      </xdr:nvPicPr>
      <xdr:blipFill>
        <a:blip xmlns:r="http://schemas.openxmlformats.org/officeDocument/2006/relationships" r:embed="rId107"/>
        <a:stretch/>
      </xdr:blipFill>
      <xdr:spPr>
        <a:xfrm>
          <a:off x="363600" y="341297370"/>
          <a:ext cx="2787840" cy="1616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165240</xdr:colOff>
      <xdr:row>1619</xdr:row>
      <xdr:rowOff>25560</xdr:rowOff>
    </xdr:from>
    <xdr:to>
      <xdr:col>23</xdr:col>
      <xdr:colOff>539265</xdr:colOff>
      <xdr:row>1626</xdr:row>
      <xdr:rowOff>3600</xdr:rowOff>
    </xdr:to>
    <xdr:pic>
      <xdr:nvPicPr>
        <xdr:cNvPr id="121" name="Imagem 192">
          <a:extLst>
            <a:ext uri="{FF2B5EF4-FFF2-40B4-BE49-F238E27FC236}">
              <a16:creationId xmlns:a16="http://schemas.microsoft.com/office/drawing/2014/main" id="{4D954C8C-87D2-4098-9E99-5A3D7F06E9DD}"/>
            </a:ext>
          </a:extLst>
        </xdr:cNvPr>
        <xdr:cNvPicPr/>
      </xdr:nvPicPr>
      <xdr:blipFill>
        <a:blip xmlns:r="http://schemas.openxmlformats.org/officeDocument/2006/relationships" r:embed="rId108"/>
        <a:stretch/>
      </xdr:blipFill>
      <xdr:spPr>
        <a:xfrm>
          <a:off x="165240" y="344487660"/>
          <a:ext cx="3222000" cy="13115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293040</xdr:colOff>
      <xdr:row>1679</xdr:row>
      <xdr:rowOff>116280</xdr:rowOff>
    </xdr:from>
    <xdr:to>
      <xdr:col>23</xdr:col>
      <xdr:colOff>397065</xdr:colOff>
      <xdr:row>1686</xdr:row>
      <xdr:rowOff>120960</xdr:rowOff>
    </xdr:to>
    <xdr:pic>
      <xdr:nvPicPr>
        <xdr:cNvPr id="122" name="Imagem 209">
          <a:extLst>
            <a:ext uri="{FF2B5EF4-FFF2-40B4-BE49-F238E27FC236}">
              <a16:creationId xmlns:a16="http://schemas.microsoft.com/office/drawing/2014/main" id="{6341D085-E76F-4E26-B8D2-CA23E88FD58D}"/>
            </a:ext>
          </a:extLst>
        </xdr:cNvPr>
        <xdr:cNvPicPr/>
      </xdr:nvPicPr>
      <xdr:blipFill>
        <a:blip xmlns:r="http://schemas.openxmlformats.org/officeDocument/2006/relationships" r:embed="rId109"/>
        <a:stretch/>
      </xdr:blipFill>
      <xdr:spPr>
        <a:xfrm>
          <a:off x="293040" y="356798955"/>
          <a:ext cx="2952000" cy="13381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100440</xdr:colOff>
      <xdr:row>1689</xdr:row>
      <xdr:rowOff>11160</xdr:rowOff>
    </xdr:from>
    <xdr:to>
      <xdr:col>23</xdr:col>
      <xdr:colOff>374385</xdr:colOff>
      <xdr:row>1701</xdr:row>
      <xdr:rowOff>72360</xdr:rowOff>
    </xdr:to>
    <xdr:pic>
      <xdr:nvPicPr>
        <xdr:cNvPr id="123" name="Imagem 1">
          <a:extLst>
            <a:ext uri="{FF2B5EF4-FFF2-40B4-BE49-F238E27FC236}">
              <a16:creationId xmlns:a16="http://schemas.microsoft.com/office/drawing/2014/main" id="{87BA24BD-5B60-4611-8FB2-213D5EAC12F6}"/>
            </a:ext>
          </a:extLst>
        </xdr:cNvPr>
        <xdr:cNvPicPr/>
      </xdr:nvPicPr>
      <xdr:blipFill>
        <a:blip xmlns:r="http://schemas.openxmlformats.org/officeDocument/2006/relationships" r:embed="rId110"/>
        <a:stretch/>
      </xdr:blipFill>
      <xdr:spPr>
        <a:xfrm>
          <a:off x="100440" y="358770285"/>
          <a:ext cx="3121920" cy="2347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119880</xdr:colOff>
      <xdr:row>1708</xdr:row>
      <xdr:rowOff>42840</xdr:rowOff>
    </xdr:from>
    <xdr:to>
      <xdr:col>23</xdr:col>
      <xdr:colOff>480225</xdr:colOff>
      <xdr:row>1714</xdr:row>
      <xdr:rowOff>164520</xdr:rowOff>
    </xdr:to>
    <xdr:pic>
      <xdr:nvPicPr>
        <xdr:cNvPr id="124" name="Imagem 215">
          <a:extLst>
            <a:ext uri="{FF2B5EF4-FFF2-40B4-BE49-F238E27FC236}">
              <a16:creationId xmlns:a16="http://schemas.microsoft.com/office/drawing/2014/main" id="{29E1CB39-F5BD-446A-8EF0-12CB961948F6}"/>
            </a:ext>
          </a:extLst>
        </xdr:cNvPr>
        <xdr:cNvPicPr/>
      </xdr:nvPicPr>
      <xdr:blipFill>
        <a:blip xmlns:r="http://schemas.openxmlformats.org/officeDocument/2006/relationships" r:embed="rId111"/>
        <a:stretch/>
      </xdr:blipFill>
      <xdr:spPr>
        <a:xfrm>
          <a:off x="119880" y="362592915"/>
          <a:ext cx="3208320" cy="1264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183960</xdr:colOff>
      <xdr:row>1723</xdr:row>
      <xdr:rowOff>54720</xdr:rowOff>
    </xdr:from>
    <xdr:to>
      <xdr:col>24</xdr:col>
      <xdr:colOff>61260</xdr:colOff>
      <xdr:row>1731</xdr:row>
      <xdr:rowOff>152280</xdr:rowOff>
    </xdr:to>
    <xdr:pic>
      <xdr:nvPicPr>
        <xdr:cNvPr id="125" name="Imagem 220">
          <a:extLst>
            <a:ext uri="{FF2B5EF4-FFF2-40B4-BE49-F238E27FC236}">
              <a16:creationId xmlns:a16="http://schemas.microsoft.com/office/drawing/2014/main" id="{BA40ED16-120A-4FBA-B662-F5970F15756E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183960" y="365633745"/>
          <a:ext cx="3306300" cy="162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213480</xdr:colOff>
      <xdr:row>1736</xdr:row>
      <xdr:rowOff>305280</xdr:rowOff>
    </xdr:from>
    <xdr:to>
      <xdr:col>23</xdr:col>
      <xdr:colOff>179265</xdr:colOff>
      <xdr:row>1748</xdr:row>
      <xdr:rowOff>13170</xdr:rowOff>
    </xdr:to>
    <xdr:pic>
      <xdr:nvPicPr>
        <xdr:cNvPr id="126" name="Imagem 18">
          <a:extLst>
            <a:ext uri="{FF2B5EF4-FFF2-40B4-BE49-F238E27FC236}">
              <a16:creationId xmlns:a16="http://schemas.microsoft.com/office/drawing/2014/main" id="{10EC082F-99EA-47AC-A41C-DD0C86174E48}"/>
            </a:ext>
          </a:extLst>
        </xdr:cNvPr>
        <xdr:cNvPicPr/>
      </xdr:nvPicPr>
      <xdr:blipFill>
        <a:blip xmlns:r="http://schemas.openxmlformats.org/officeDocument/2006/relationships" r:embed="rId112"/>
        <a:stretch/>
      </xdr:blipFill>
      <xdr:spPr>
        <a:xfrm>
          <a:off x="213480" y="368360805"/>
          <a:ext cx="2813760" cy="21081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710280</xdr:colOff>
      <xdr:row>1743</xdr:row>
      <xdr:rowOff>61560</xdr:rowOff>
    </xdr:from>
    <xdr:to>
      <xdr:col>22</xdr:col>
      <xdr:colOff>1172025</xdr:colOff>
      <xdr:row>1750</xdr:row>
      <xdr:rowOff>124920</xdr:rowOff>
    </xdr:to>
    <xdr:pic>
      <xdr:nvPicPr>
        <xdr:cNvPr id="127" name="Imagem 30">
          <a:extLst>
            <a:ext uri="{FF2B5EF4-FFF2-40B4-BE49-F238E27FC236}">
              <a16:creationId xmlns:a16="http://schemas.microsoft.com/office/drawing/2014/main" id="{470F6E2B-6F77-4A91-8A96-F667BDCEB994}"/>
            </a:ext>
          </a:extLst>
        </xdr:cNvPr>
        <xdr:cNvPicPr/>
      </xdr:nvPicPr>
      <xdr:blipFill>
        <a:blip xmlns:r="http://schemas.openxmlformats.org/officeDocument/2006/relationships" r:embed="rId113"/>
        <a:stretch/>
      </xdr:blipFill>
      <xdr:spPr>
        <a:xfrm>
          <a:off x="710280" y="369622035"/>
          <a:ext cx="1861920" cy="1396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114840</xdr:colOff>
      <xdr:row>1754</xdr:row>
      <xdr:rowOff>19440</xdr:rowOff>
    </xdr:from>
    <xdr:to>
      <xdr:col>22</xdr:col>
      <xdr:colOff>1241655</xdr:colOff>
      <xdr:row>1760</xdr:row>
      <xdr:rowOff>30240</xdr:rowOff>
    </xdr:to>
    <xdr:pic>
      <xdr:nvPicPr>
        <xdr:cNvPr id="128" name="Imagem 234">
          <a:extLst>
            <a:ext uri="{FF2B5EF4-FFF2-40B4-BE49-F238E27FC236}">
              <a16:creationId xmlns:a16="http://schemas.microsoft.com/office/drawing/2014/main" id="{9F45251E-1CD9-479E-8025-4E56B7D4452F}"/>
            </a:ext>
          </a:extLst>
        </xdr:cNvPr>
        <xdr:cNvPicPr/>
      </xdr:nvPicPr>
      <xdr:blipFill>
        <a:blip xmlns:r="http://schemas.openxmlformats.org/officeDocument/2006/relationships" r:embed="rId114"/>
        <a:stretch/>
      </xdr:blipFill>
      <xdr:spPr>
        <a:xfrm>
          <a:off x="114840" y="371846865"/>
          <a:ext cx="2393640" cy="1153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993960</xdr:colOff>
      <xdr:row>1760</xdr:row>
      <xdr:rowOff>169200</xdr:rowOff>
    </xdr:from>
    <xdr:to>
      <xdr:col>22</xdr:col>
      <xdr:colOff>1576950</xdr:colOff>
      <xdr:row>1766</xdr:row>
      <xdr:rowOff>104040</xdr:rowOff>
    </xdr:to>
    <xdr:pic>
      <xdr:nvPicPr>
        <xdr:cNvPr id="129" name="Imagem 240">
          <a:extLst>
            <a:ext uri="{FF2B5EF4-FFF2-40B4-BE49-F238E27FC236}">
              <a16:creationId xmlns:a16="http://schemas.microsoft.com/office/drawing/2014/main" id="{E7CE3D00-8AB5-42E8-A3F2-51E9B2301C77}"/>
            </a:ext>
          </a:extLst>
        </xdr:cNvPr>
        <xdr:cNvPicPr/>
      </xdr:nvPicPr>
      <xdr:blipFill>
        <a:blip xmlns:r="http://schemas.openxmlformats.org/officeDocument/2006/relationships" r:embed="rId115"/>
        <a:stretch/>
      </xdr:blipFill>
      <xdr:spPr>
        <a:xfrm>
          <a:off x="993960" y="373139625"/>
          <a:ext cx="2278440" cy="107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182520</xdr:colOff>
      <xdr:row>1772</xdr:row>
      <xdr:rowOff>5760</xdr:rowOff>
    </xdr:from>
    <xdr:to>
      <xdr:col>24</xdr:col>
      <xdr:colOff>16200</xdr:colOff>
      <xdr:row>1780</xdr:row>
      <xdr:rowOff>300</xdr:rowOff>
    </xdr:to>
    <xdr:pic>
      <xdr:nvPicPr>
        <xdr:cNvPr id="130" name="Imagem 260">
          <a:extLst>
            <a:ext uri="{FF2B5EF4-FFF2-40B4-BE49-F238E27FC236}">
              <a16:creationId xmlns:a16="http://schemas.microsoft.com/office/drawing/2014/main" id="{F5BF0D55-38C8-47EC-85B9-FFDB94F0EC19}"/>
            </a:ext>
          </a:extLst>
        </xdr:cNvPr>
        <xdr:cNvPicPr/>
      </xdr:nvPicPr>
      <xdr:blipFill>
        <a:blip xmlns:r="http://schemas.openxmlformats.org/officeDocument/2006/relationships" r:embed="rId116"/>
        <a:stretch/>
      </xdr:blipFill>
      <xdr:spPr>
        <a:xfrm>
          <a:off x="182520" y="375433635"/>
          <a:ext cx="3262680" cy="15185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527400</xdr:colOff>
      <xdr:row>1785</xdr:row>
      <xdr:rowOff>115920</xdr:rowOff>
    </xdr:from>
    <xdr:to>
      <xdr:col>22</xdr:col>
      <xdr:colOff>145815</xdr:colOff>
      <xdr:row>1791</xdr:row>
      <xdr:rowOff>167760</xdr:rowOff>
    </xdr:to>
    <xdr:pic>
      <xdr:nvPicPr>
        <xdr:cNvPr id="131" name="Imagem 262">
          <a:extLst>
            <a:ext uri="{FF2B5EF4-FFF2-40B4-BE49-F238E27FC236}">
              <a16:creationId xmlns:a16="http://schemas.microsoft.com/office/drawing/2014/main" id="{A889F3FB-92DC-4C00-83D6-8CBDF0CF544E}"/>
            </a:ext>
          </a:extLst>
        </xdr:cNvPr>
        <xdr:cNvPicPr/>
      </xdr:nvPicPr>
      <xdr:blipFill>
        <a:blip xmlns:r="http://schemas.openxmlformats.org/officeDocument/2006/relationships" r:embed="rId117"/>
        <a:stretch/>
      </xdr:blipFill>
      <xdr:spPr>
        <a:xfrm>
          <a:off x="527400" y="378191745"/>
          <a:ext cx="885240" cy="1194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1744560</xdr:colOff>
      <xdr:row>1785</xdr:row>
      <xdr:rowOff>105840</xdr:rowOff>
    </xdr:from>
    <xdr:to>
      <xdr:col>21</xdr:col>
      <xdr:colOff>679890</xdr:colOff>
      <xdr:row>1791</xdr:row>
      <xdr:rowOff>143280</xdr:rowOff>
    </xdr:to>
    <xdr:pic>
      <xdr:nvPicPr>
        <xdr:cNvPr id="132" name="Imagem 264">
          <a:extLst>
            <a:ext uri="{FF2B5EF4-FFF2-40B4-BE49-F238E27FC236}">
              <a16:creationId xmlns:a16="http://schemas.microsoft.com/office/drawing/2014/main" id="{AB5DC40F-EC43-46F4-A32A-E3EBC5FEE934}"/>
            </a:ext>
          </a:extLst>
        </xdr:cNvPr>
        <xdr:cNvPicPr/>
      </xdr:nvPicPr>
      <xdr:blipFill>
        <a:blip xmlns:r="http://schemas.openxmlformats.org/officeDocument/2006/relationships" r:embed="rId118"/>
        <a:stretch/>
      </xdr:blipFill>
      <xdr:spPr>
        <a:xfrm>
          <a:off x="1744560" y="378181665"/>
          <a:ext cx="1126080" cy="118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278280</xdr:colOff>
      <xdr:row>1803</xdr:row>
      <xdr:rowOff>95400</xdr:rowOff>
    </xdr:from>
    <xdr:to>
      <xdr:col>22</xdr:col>
      <xdr:colOff>158055</xdr:colOff>
      <xdr:row>1809</xdr:row>
      <xdr:rowOff>160560</xdr:rowOff>
    </xdr:to>
    <xdr:pic>
      <xdr:nvPicPr>
        <xdr:cNvPr id="133" name="Imagem 210">
          <a:extLst>
            <a:ext uri="{FF2B5EF4-FFF2-40B4-BE49-F238E27FC236}">
              <a16:creationId xmlns:a16="http://schemas.microsoft.com/office/drawing/2014/main" id="{B0E84D96-4FD9-4611-87F1-8CE0295C9770}"/>
            </a:ext>
          </a:extLst>
        </xdr:cNvPr>
        <xdr:cNvPicPr/>
      </xdr:nvPicPr>
      <xdr:blipFill>
        <a:blip xmlns:r="http://schemas.openxmlformats.org/officeDocument/2006/relationships" r:embed="rId119"/>
        <a:stretch/>
      </xdr:blipFill>
      <xdr:spPr>
        <a:xfrm>
          <a:off x="278280" y="381943125"/>
          <a:ext cx="114660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1743480</xdr:colOff>
      <xdr:row>1803</xdr:row>
      <xdr:rowOff>70200</xdr:rowOff>
    </xdr:from>
    <xdr:to>
      <xdr:col>21</xdr:col>
      <xdr:colOff>815250</xdr:colOff>
      <xdr:row>1809</xdr:row>
      <xdr:rowOff>135360</xdr:rowOff>
    </xdr:to>
    <xdr:pic>
      <xdr:nvPicPr>
        <xdr:cNvPr id="134" name="Imagem 211">
          <a:extLst>
            <a:ext uri="{FF2B5EF4-FFF2-40B4-BE49-F238E27FC236}">
              <a16:creationId xmlns:a16="http://schemas.microsoft.com/office/drawing/2014/main" id="{C27453CC-6220-4881-A5E2-FBFA62E178FF}"/>
            </a:ext>
          </a:extLst>
        </xdr:cNvPr>
        <xdr:cNvPicPr/>
      </xdr:nvPicPr>
      <xdr:blipFill>
        <a:blip xmlns:r="http://schemas.openxmlformats.org/officeDocument/2006/relationships" r:embed="rId120"/>
        <a:stretch/>
      </xdr:blipFill>
      <xdr:spPr>
        <a:xfrm>
          <a:off x="1743480" y="381917925"/>
          <a:ext cx="126252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224640</xdr:colOff>
      <xdr:row>1812</xdr:row>
      <xdr:rowOff>14400</xdr:rowOff>
    </xdr:from>
    <xdr:to>
      <xdr:col>22</xdr:col>
      <xdr:colOff>276135</xdr:colOff>
      <xdr:row>1818</xdr:row>
      <xdr:rowOff>9000</xdr:rowOff>
    </xdr:to>
    <xdr:pic>
      <xdr:nvPicPr>
        <xdr:cNvPr id="135" name="Imagem 227">
          <a:extLst>
            <a:ext uri="{FF2B5EF4-FFF2-40B4-BE49-F238E27FC236}">
              <a16:creationId xmlns:a16="http://schemas.microsoft.com/office/drawing/2014/main" id="{14B2B20E-6706-4505-97E2-348608D29B02}"/>
            </a:ext>
          </a:extLst>
        </xdr:cNvPr>
        <xdr:cNvPicPr/>
      </xdr:nvPicPr>
      <xdr:blipFill>
        <a:blip xmlns:r="http://schemas.openxmlformats.org/officeDocument/2006/relationships" r:embed="rId121"/>
        <a:stretch/>
      </xdr:blipFill>
      <xdr:spPr>
        <a:xfrm>
          <a:off x="224640" y="383748075"/>
          <a:ext cx="1318320" cy="1137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1798920</xdr:colOff>
      <xdr:row>1812</xdr:row>
      <xdr:rowOff>120240</xdr:rowOff>
    </xdr:from>
    <xdr:to>
      <xdr:col>21</xdr:col>
      <xdr:colOff>951510</xdr:colOff>
      <xdr:row>1818</xdr:row>
      <xdr:rowOff>25560</xdr:rowOff>
    </xdr:to>
    <xdr:pic>
      <xdr:nvPicPr>
        <xdr:cNvPr id="136" name="Imagem 229">
          <a:extLst>
            <a:ext uri="{FF2B5EF4-FFF2-40B4-BE49-F238E27FC236}">
              <a16:creationId xmlns:a16="http://schemas.microsoft.com/office/drawing/2014/main" id="{3F4A5272-79B8-415C-9D24-7C05604044C7}"/>
            </a:ext>
          </a:extLst>
        </xdr:cNvPr>
        <xdr:cNvPicPr/>
      </xdr:nvPicPr>
      <xdr:blipFill>
        <a:blip xmlns:r="http://schemas.openxmlformats.org/officeDocument/2006/relationships" r:embed="rId122"/>
        <a:stretch/>
      </xdr:blipFill>
      <xdr:spPr>
        <a:xfrm>
          <a:off x="1798920" y="383853915"/>
          <a:ext cx="1457640" cy="104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188280</xdr:colOff>
      <xdr:row>1820</xdr:row>
      <xdr:rowOff>150840</xdr:rowOff>
    </xdr:from>
    <xdr:to>
      <xdr:col>22</xdr:col>
      <xdr:colOff>133575</xdr:colOff>
      <xdr:row>1826</xdr:row>
      <xdr:rowOff>188640</xdr:rowOff>
    </xdr:to>
    <xdr:pic>
      <xdr:nvPicPr>
        <xdr:cNvPr id="137" name="Imagem 261">
          <a:extLst>
            <a:ext uri="{FF2B5EF4-FFF2-40B4-BE49-F238E27FC236}">
              <a16:creationId xmlns:a16="http://schemas.microsoft.com/office/drawing/2014/main" id="{BAF5CB1B-02F9-49BC-858B-C8DAEF1DDD78}"/>
            </a:ext>
          </a:extLst>
        </xdr:cNvPr>
        <xdr:cNvPicPr/>
      </xdr:nvPicPr>
      <xdr:blipFill>
        <a:blip xmlns:r="http://schemas.openxmlformats.org/officeDocument/2006/relationships" r:embed="rId123"/>
        <a:stretch/>
      </xdr:blipFill>
      <xdr:spPr>
        <a:xfrm>
          <a:off x="188280" y="385579965"/>
          <a:ext cx="121212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1758240</xdr:colOff>
      <xdr:row>1820</xdr:row>
      <xdr:rowOff>122400</xdr:rowOff>
    </xdr:from>
    <xdr:to>
      <xdr:col>21</xdr:col>
      <xdr:colOff>751230</xdr:colOff>
      <xdr:row>1826</xdr:row>
      <xdr:rowOff>160200</xdr:rowOff>
    </xdr:to>
    <xdr:pic>
      <xdr:nvPicPr>
        <xdr:cNvPr id="138" name="Imagem 265">
          <a:extLst>
            <a:ext uri="{FF2B5EF4-FFF2-40B4-BE49-F238E27FC236}">
              <a16:creationId xmlns:a16="http://schemas.microsoft.com/office/drawing/2014/main" id="{485ECE7C-4B98-4D95-818A-5430B6B99A1A}"/>
            </a:ext>
          </a:extLst>
        </xdr:cNvPr>
        <xdr:cNvPicPr/>
      </xdr:nvPicPr>
      <xdr:blipFill>
        <a:blip xmlns:r="http://schemas.openxmlformats.org/officeDocument/2006/relationships" r:embed="rId124"/>
        <a:stretch/>
      </xdr:blipFill>
      <xdr:spPr>
        <a:xfrm>
          <a:off x="1758240" y="385551525"/>
          <a:ext cx="122184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234720</xdr:colOff>
      <xdr:row>1829</xdr:row>
      <xdr:rowOff>118440</xdr:rowOff>
    </xdr:from>
    <xdr:to>
      <xdr:col>22</xdr:col>
      <xdr:colOff>108015</xdr:colOff>
      <xdr:row>1835</xdr:row>
      <xdr:rowOff>113400</xdr:rowOff>
    </xdr:to>
    <xdr:pic>
      <xdr:nvPicPr>
        <xdr:cNvPr id="139" name="Imagem 271">
          <a:extLst>
            <a:ext uri="{FF2B5EF4-FFF2-40B4-BE49-F238E27FC236}">
              <a16:creationId xmlns:a16="http://schemas.microsoft.com/office/drawing/2014/main" id="{804C9BAB-FE78-4281-8F17-2BC9561C7256}"/>
            </a:ext>
          </a:extLst>
        </xdr:cNvPr>
        <xdr:cNvPicPr/>
      </xdr:nvPicPr>
      <xdr:blipFill>
        <a:blip xmlns:r="http://schemas.openxmlformats.org/officeDocument/2006/relationships" r:embed="rId125"/>
        <a:stretch/>
      </xdr:blipFill>
      <xdr:spPr>
        <a:xfrm>
          <a:off x="234720" y="387433515"/>
          <a:ext cx="1140120" cy="113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1234080</xdr:colOff>
      <xdr:row>1828</xdr:row>
      <xdr:rowOff>280800</xdr:rowOff>
    </xdr:from>
    <xdr:to>
      <xdr:col>22</xdr:col>
      <xdr:colOff>1143930</xdr:colOff>
      <xdr:row>1837</xdr:row>
      <xdr:rowOff>52905</xdr:rowOff>
    </xdr:to>
    <xdr:pic>
      <xdr:nvPicPr>
        <xdr:cNvPr id="140" name="Imagem 31">
          <a:extLst>
            <a:ext uri="{FF2B5EF4-FFF2-40B4-BE49-F238E27FC236}">
              <a16:creationId xmlns:a16="http://schemas.microsoft.com/office/drawing/2014/main" id="{1DCB4BCC-9D4C-4F55-95F9-F58801A276A7}"/>
            </a:ext>
          </a:extLst>
        </xdr:cNvPr>
        <xdr:cNvPicPr/>
      </xdr:nvPicPr>
      <xdr:blipFill>
        <a:blip xmlns:r="http://schemas.openxmlformats.org/officeDocument/2006/relationships" r:embed="rId126"/>
        <a:stretch/>
      </xdr:blipFill>
      <xdr:spPr>
        <a:xfrm>
          <a:off x="1234080" y="387233925"/>
          <a:ext cx="2100600" cy="15723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281880</xdr:colOff>
      <xdr:row>1838</xdr:row>
      <xdr:rowOff>167400</xdr:rowOff>
    </xdr:from>
    <xdr:to>
      <xdr:col>22</xdr:col>
      <xdr:colOff>168855</xdr:colOff>
      <xdr:row>1844</xdr:row>
      <xdr:rowOff>61920</xdr:rowOff>
    </xdr:to>
    <xdr:pic>
      <xdr:nvPicPr>
        <xdr:cNvPr id="141" name="Imagem 280">
          <a:extLst>
            <a:ext uri="{FF2B5EF4-FFF2-40B4-BE49-F238E27FC236}">
              <a16:creationId xmlns:a16="http://schemas.microsoft.com/office/drawing/2014/main" id="{6A22B687-2946-42BF-96A9-8CCB70E93394}"/>
            </a:ext>
          </a:extLst>
        </xdr:cNvPr>
        <xdr:cNvPicPr/>
      </xdr:nvPicPr>
      <xdr:blipFill>
        <a:blip xmlns:r="http://schemas.openxmlformats.org/officeDocument/2006/relationships" r:embed="rId127"/>
        <a:stretch/>
      </xdr:blipFill>
      <xdr:spPr>
        <a:xfrm>
          <a:off x="281880" y="389368425"/>
          <a:ext cx="1153800" cy="1037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1785960</xdr:colOff>
      <xdr:row>1838</xdr:row>
      <xdr:rowOff>137160</xdr:rowOff>
    </xdr:from>
    <xdr:to>
      <xdr:col>21</xdr:col>
      <xdr:colOff>721800</xdr:colOff>
      <xdr:row>1844</xdr:row>
      <xdr:rowOff>102960</xdr:rowOff>
    </xdr:to>
    <xdr:pic>
      <xdr:nvPicPr>
        <xdr:cNvPr id="142" name="Imagem 283">
          <a:extLst>
            <a:ext uri="{FF2B5EF4-FFF2-40B4-BE49-F238E27FC236}">
              <a16:creationId xmlns:a16="http://schemas.microsoft.com/office/drawing/2014/main" id="{46062F72-9F46-4D2E-B595-16B7C87EC562}"/>
            </a:ext>
          </a:extLst>
        </xdr:cNvPr>
        <xdr:cNvPicPr/>
      </xdr:nvPicPr>
      <xdr:blipFill>
        <a:blip xmlns:r="http://schemas.openxmlformats.org/officeDocument/2006/relationships" r:embed="rId128"/>
        <a:stretch/>
      </xdr:blipFill>
      <xdr:spPr>
        <a:xfrm>
          <a:off x="1785960" y="389338185"/>
          <a:ext cx="1221840" cy="1108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172440</xdr:colOff>
      <xdr:row>1865</xdr:row>
      <xdr:rowOff>160920</xdr:rowOff>
    </xdr:from>
    <xdr:to>
      <xdr:col>22</xdr:col>
      <xdr:colOff>304215</xdr:colOff>
      <xdr:row>1871</xdr:row>
      <xdr:rowOff>161640</xdr:rowOff>
    </xdr:to>
    <xdr:pic>
      <xdr:nvPicPr>
        <xdr:cNvPr id="143" name="Imagem 289">
          <a:extLst>
            <a:ext uri="{FF2B5EF4-FFF2-40B4-BE49-F238E27FC236}">
              <a16:creationId xmlns:a16="http://schemas.microsoft.com/office/drawing/2014/main" id="{2C33733F-74F4-443B-B9E8-211445410E7F}"/>
            </a:ext>
          </a:extLst>
        </xdr:cNvPr>
        <xdr:cNvPicPr/>
      </xdr:nvPicPr>
      <xdr:blipFill>
        <a:blip xmlns:r="http://schemas.openxmlformats.org/officeDocument/2006/relationships" r:embed="rId129"/>
        <a:stretch/>
      </xdr:blipFill>
      <xdr:spPr>
        <a:xfrm>
          <a:off x="172440" y="395019795"/>
          <a:ext cx="1398600" cy="1143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1837800</xdr:colOff>
      <xdr:row>1866</xdr:row>
      <xdr:rowOff>46080</xdr:rowOff>
    </xdr:from>
    <xdr:to>
      <xdr:col>21</xdr:col>
      <xdr:colOff>807990</xdr:colOff>
      <xdr:row>1871</xdr:row>
      <xdr:rowOff>151920</xdr:rowOff>
    </xdr:to>
    <xdr:pic>
      <xdr:nvPicPr>
        <xdr:cNvPr id="144" name="Imagem 290">
          <a:extLst>
            <a:ext uri="{FF2B5EF4-FFF2-40B4-BE49-F238E27FC236}">
              <a16:creationId xmlns:a16="http://schemas.microsoft.com/office/drawing/2014/main" id="{B1581234-6142-4422-9E3D-58A300CBB534}"/>
            </a:ext>
          </a:extLst>
        </xdr:cNvPr>
        <xdr:cNvPicPr/>
      </xdr:nvPicPr>
      <xdr:blipFill>
        <a:blip xmlns:r="http://schemas.openxmlformats.org/officeDocument/2006/relationships" r:embed="rId130"/>
        <a:stretch/>
      </xdr:blipFill>
      <xdr:spPr>
        <a:xfrm>
          <a:off x="1837800" y="395095455"/>
          <a:ext cx="1351440" cy="1058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176760</xdr:colOff>
      <xdr:row>1256</xdr:row>
      <xdr:rowOff>127080</xdr:rowOff>
    </xdr:from>
    <xdr:to>
      <xdr:col>22</xdr:col>
      <xdr:colOff>376575</xdr:colOff>
      <xdr:row>1264</xdr:row>
      <xdr:rowOff>6480</xdr:rowOff>
    </xdr:to>
    <xdr:pic>
      <xdr:nvPicPr>
        <xdr:cNvPr id="145" name="Imagem 291">
          <a:extLst>
            <a:ext uri="{FF2B5EF4-FFF2-40B4-BE49-F238E27FC236}">
              <a16:creationId xmlns:a16="http://schemas.microsoft.com/office/drawing/2014/main" id="{03F7DFB9-8606-4FDD-8D9A-F56557EC355B}"/>
            </a:ext>
          </a:extLst>
        </xdr:cNvPr>
        <xdr:cNvPicPr/>
      </xdr:nvPicPr>
      <xdr:blipFill>
        <a:blip xmlns:r="http://schemas.openxmlformats.org/officeDocument/2006/relationships" r:embed="rId131"/>
        <a:stretch/>
      </xdr:blipFill>
      <xdr:spPr>
        <a:xfrm>
          <a:off x="176760" y="270103680"/>
          <a:ext cx="1466640" cy="1403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1782360</xdr:colOff>
      <xdr:row>1256</xdr:row>
      <xdr:rowOff>92160</xdr:rowOff>
    </xdr:from>
    <xdr:to>
      <xdr:col>21</xdr:col>
      <xdr:colOff>915090</xdr:colOff>
      <xdr:row>1264</xdr:row>
      <xdr:rowOff>5040</xdr:rowOff>
    </xdr:to>
    <xdr:pic>
      <xdr:nvPicPr>
        <xdr:cNvPr id="146" name="Imagem 292">
          <a:extLst>
            <a:ext uri="{FF2B5EF4-FFF2-40B4-BE49-F238E27FC236}">
              <a16:creationId xmlns:a16="http://schemas.microsoft.com/office/drawing/2014/main" id="{6EE08E8A-5BE9-44C6-81BA-B73A8AD46CE0}"/>
            </a:ext>
          </a:extLst>
        </xdr:cNvPr>
        <xdr:cNvPicPr/>
      </xdr:nvPicPr>
      <xdr:blipFill>
        <a:blip xmlns:r="http://schemas.openxmlformats.org/officeDocument/2006/relationships" r:embed="rId132"/>
        <a:stretch/>
      </xdr:blipFill>
      <xdr:spPr>
        <a:xfrm>
          <a:off x="1782360" y="270068760"/>
          <a:ext cx="1399680" cy="1436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163440</xdr:colOff>
      <xdr:row>1886</xdr:row>
      <xdr:rowOff>23400</xdr:rowOff>
    </xdr:from>
    <xdr:to>
      <xdr:col>22</xdr:col>
      <xdr:colOff>47895</xdr:colOff>
      <xdr:row>1891</xdr:row>
      <xdr:rowOff>40320</xdr:rowOff>
    </xdr:to>
    <xdr:pic>
      <xdr:nvPicPr>
        <xdr:cNvPr id="147" name="Imagem 295">
          <a:extLst>
            <a:ext uri="{FF2B5EF4-FFF2-40B4-BE49-F238E27FC236}">
              <a16:creationId xmlns:a16="http://schemas.microsoft.com/office/drawing/2014/main" id="{45FCFE87-C62C-4891-A2EA-A8F0038B6142}"/>
            </a:ext>
          </a:extLst>
        </xdr:cNvPr>
        <xdr:cNvPicPr/>
      </xdr:nvPicPr>
      <xdr:blipFill>
        <a:blip xmlns:r="http://schemas.openxmlformats.org/officeDocument/2006/relationships" r:embed="rId133"/>
        <a:stretch/>
      </xdr:blipFill>
      <xdr:spPr>
        <a:xfrm>
          <a:off x="163440" y="399225675"/>
          <a:ext cx="1151280" cy="9694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1568880</xdr:colOff>
      <xdr:row>1886</xdr:row>
      <xdr:rowOff>58320</xdr:rowOff>
    </xdr:from>
    <xdr:to>
      <xdr:col>22</xdr:col>
      <xdr:colOff>493740</xdr:colOff>
      <xdr:row>1892</xdr:row>
      <xdr:rowOff>68040</xdr:rowOff>
    </xdr:to>
    <xdr:pic>
      <xdr:nvPicPr>
        <xdr:cNvPr id="148" name="Imagem 296">
          <a:extLst>
            <a:ext uri="{FF2B5EF4-FFF2-40B4-BE49-F238E27FC236}">
              <a16:creationId xmlns:a16="http://schemas.microsoft.com/office/drawing/2014/main" id="{48D621ED-F224-4988-8610-22EA96070005}"/>
            </a:ext>
          </a:extLst>
        </xdr:cNvPr>
        <xdr:cNvPicPr/>
      </xdr:nvPicPr>
      <xdr:blipFill>
        <a:blip xmlns:r="http://schemas.openxmlformats.org/officeDocument/2006/relationships" r:embed="rId134"/>
        <a:stretch/>
      </xdr:blipFill>
      <xdr:spPr>
        <a:xfrm>
          <a:off x="1568880" y="399260595"/>
          <a:ext cx="1782360" cy="1152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1092600</xdr:colOff>
      <xdr:row>1895</xdr:row>
      <xdr:rowOff>85680</xdr:rowOff>
    </xdr:from>
    <xdr:to>
      <xdr:col>22</xdr:col>
      <xdr:colOff>123600</xdr:colOff>
      <xdr:row>1900</xdr:row>
      <xdr:rowOff>108000</xdr:rowOff>
    </xdr:to>
    <xdr:pic>
      <xdr:nvPicPr>
        <xdr:cNvPr id="149" name="Imagem 299">
          <a:extLst>
            <a:ext uri="{FF2B5EF4-FFF2-40B4-BE49-F238E27FC236}">
              <a16:creationId xmlns:a16="http://schemas.microsoft.com/office/drawing/2014/main" id="{9A566AF8-A076-46B0-BFFC-BB3F29CDE322}"/>
            </a:ext>
          </a:extLst>
        </xdr:cNvPr>
        <xdr:cNvPicPr/>
      </xdr:nvPicPr>
      <xdr:blipFill>
        <a:blip xmlns:r="http://schemas.openxmlformats.org/officeDocument/2006/relationships" r:embed="rId135"/>
        <a:stretch/>
      </xdr:blipFill>
      <xdr:spPr>
        <a:xfrm>
          <a:off x="1092600" y="401173905"/>
          <a:ext cx="936000" cy="9748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562320</xdr:colOff>
      <xdr:row>1903</xdr:row>
      <xdr:rowOff>121680</xdr:rowOff>
    </xdr:from>
    <xdr:to>
      <xdr:col>22</xdr:col>
      <xdr:colOff>1292775</xdr:colOff>
      <xdr:row>1908</xdr:row>
      <xdr:rowOff>172080</xdr:rowOff>
    </xdr:to>
    <xdr:pic>
      <xdr:nvPicPr>
        <xdr:cNvPr id="150" name="Imagem 302">
          <a:extLst>
            <a:ext uri="{FF2B5EF4-FFF2-40B4-BE49-F238E27FC236}">
              <a16:creationId xmlns:a16="http://schemas.microsoft.com/office/drawing/2014/main" id="{F5BE45E3-3DF8-432C-9153-531963744D35}"/>
            </a:ext>
          </a:extLst>
        </xdr:cNvPr>
        <xdr:cNvPicPr/>
      </xdr:nvPicPr>
      <xdr:blipFill>
        <a:blip xmlns:r="http://schemas.openxmlformats.org/officeDocument/2006/relationships" r:embed="rId136"/>
        <a:stretch/>
      </xdr:blipFill>
      <xdr:spPr>
        <a:xfrm>
          <a:off x="562320" y="402905355"/>
          <a:ext cx="1997280" cy="10029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989640</xdr:colOff>
      <xdr:row>1912</xdr:row>
      <xdr:rowOff>26640</xdr:rowOff>
    </xdr:from>
    <xdr:to>
      <xdr:col>22</xdr:col>
      <xdr:colOff>506310</xdr:colOff>
      <xdr:row>1917</xdr:row>
      <xdr:rowOff>142920</xdr:rowOff>
    </xdr:to>
    <xdr:pic>
      <xdr:nvPicPr>
        <xdr:cNvPr id="151" name="Imagem 304">
          <a:extLst>
            <a:ext uri="{FF2B5EF4-FFF2-40B4-BE49-F238E27FC236}">
              <a16:creationId xmlns:a16="http://schemas.microsoft.com/office/drawing/2014/main" id="{35D707E4-7F3F-46F7-8EC7-C6180AE42C5F}"/>
            </a:ext>
          </a:extLst>
        </xdr:cNvPr>
        <xdr:cNvPicPr/>
      </xdr:nvPicPr>
      <xdr:blipFill>
        <a:blip xmlns:r="http://schemas.openxmlformats.org/officeDocument/2006/relationships" r:embed="rId137"/>
        <a:stretch/>
      </xdr:blipFill>
      <xdr:spPr>
        <a:xfrm>
          <a:off x="989640" y="404696265"/>
          <a:ext cx="1212120" cy="1068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452160</xdr:colOff>
      <xdr:row>1505</xdr:row>
      <xdr:rowOff>348840</xdr:rowOff>
    </xdr:from>
    <xdr:to>
      <xdr:col>23</xdr:col>
      <xdr:colOff>48945</xdr:colOff>
      <xdr:row>1511</xdr:row>
      <xdr:rowOff>153840</xdr:rowOff>
    </xdr:to>
    <xdr:pic>
      <xdr:nvPicPr>
        <xdr:cNvPr id="152" name="Imagem 16">
          <a:extLst>
            <a:ext uri="{FF2B5EF4-FFF2-40B4-BE49-F238E27FC236}">
              <a16:creationId xmlns:a16="http://schemas.microsoft.com/office/drawing/2014/main" id="{5A3F64F3-2DCE-4C22-9E4D-B8C3157D6F86}"/>
            </a:ext>
          </a:extLst>
        </xdr:cNvPr>
        <xdr:cNvPicPr/>
      </xdr:nvPicPr>
      <xdr:blipFill>
        <a:blip xmlns:r="http://schemas.openxmlformats.org/officeDocument/2006/relationships" r:embed="rId138"/>
        <a:stretch/>
      </xdr:blipFill>
      <xdr:spPr>
        <a:xfrm>
          <a:off x="452160" y="321246090"/>
          <a:ext cx="2444760" cy="1109925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1290600</xdr:colOff>
      <xdr:row>1511</xdr:row>
      <xdr:rowOff>54720</xdr:rowOff>
    </xdr:from>
    <xdr:to>
      <xdr:col>22</xdr:col>
      <xdr:colOff>599040</xdr:colOff>
      <xdr:row>1517</xdr:row>
      <xdr:rowOff>37590</xdr:rowOff>
    </xdr:to>
    <xdr:pic>
      <xdr:nvPicPr>
        <xdr:cNvPr id="153" name="Imagem 33">
          <a:extLst>
            <a:ext uri="{FF2B5EF4-FFF2-40B4-BE49-F238E27FC236}">
              <a16:creationId xmlns:a16="http://schemas.microsoft.com/office/drawing/2014/main" id="{1249C139-F683-47FB-B902-3753AD384366}"/>
            </a:ext>
          </a:extLst>
        </xdr:cNvPr>
        <xdr:cNvPicPr/>
      </xdr:nvPicPr>
      <xdr:blipFill>
        <a:blip xmlns:r="http://schemas.openxmlformats.org/officeDocument/2006/relationships" r:embed="rId139"/>
        <a:stretch/>
      </xdr:blipFill>
      <xdr:spPr>
        <a:xfrm>
          <a:off x="1290600" y="322409295"/>
          <a:ext cx="1594440" cy="11258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210960</xdr:colOff>
      <xdr:row>1518</xdr:row>
      <xdr:rowOff>354600</xdr:rowOff>
    </xdr:from>
    <xdr:to>
      <xdr:col>23</xdr:col>
      <xdr:colOff>404625</xdr:colOff>
      <xdr:row>1527</xdr:row>
      <xdr:rowOff>178110</xdr:rowOff>
    </xdr:to>
    <xdr:pic>
      <xdr:nvPicPr>
        <xdr:cNvPr id="154" name="Imagem 34">
          <a:extLst>
            <a:ext uri="{FF2B5EF4-FFF2-40B4-BE49-F238E27FC236}">
              <a16:creationId xmlns:a16="http://schemas.microsoft.com/office/drawing/2014/main" id="{E1AD8169-1AE1-4358-83B9-8C7F648726A5}"/>
            </a:ext>
          </a:extLst>
        </xdr:cNvPr>
        <xdr:cNvPicPr/>
      </xdr:nvPicPr>
      <xdr:blipFill>
        <a:blip xmlns:r="http://schemas.openxmlformats.org/officeDocument/2006/relationships" r:embed="rId140"/>
        <a:stretch/>
      </xdr:blipFill>
      <xdr:spPr>
        <a:xfrm>
          <a:off x="210960" y="324137925"/>
          <a:ext cx="3041640" cy="1699935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1561</xdr:row>
      <xdr:rowOff>16200</xdr:rowOff>
    </xdr:from>
    <xdr:to>
      <xdr:col>23</xdr:col>
      <xdr:colOff>568065</xdr:colOff>
      <xdr:row>1570</xdr:row>
      <xdr:rowOff>122040</xdr:rowOff>
    </xdr:to>
    <xdr:pic>
      <xdr:nvPicPr>
        <xdr:cNvPr id="155" name="Imagem 214">
          <a:extLst>
            <a:ext uri="{FF2B5EF4-FFF2-40B4-BE49-F238E27FC236}">
              <a16:creationId xmlns:a16="http://schemas.microsoft.com/office/drawing/2014/main" id="{4017EC19-9887-4C96-8692-73679D8FB6D0}"/>
            </a:ext>
          </a:extLst>
        </xdr:cNvPr>
        <xdr:cNvPicPr/>
      </xdr:nvPicPr>
      <xdr:blipFill>
        <a:blip xmlns:r="http://schemas.openxmlformats.org/officeDocument/2006/relationships" r:embed="rId141"/>
        <a:stretch/>
      </xdr:blipFill>
      <xdr:spPr>
        <a:xfrm>
          <a:off x="0" y="332914950"/>
          <a:ext cx="3416040" cy="1820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25200</xdr:colOff>
      <xdr:row>1571</xdr:row>
      <xdr:rowOff>169560</xdr:rowOff>
    </xdr:from>
    <xdr:to>
      <xdr:col>24</xdr:col>
      <xdr:colOff>53475</xdr:colOff>
      <xdr:row>1579</xdr:row>
      <xdr:rowOff>159840</xdr:rowOff>
    </xdr:to>
    <xdr:pic>
      <xdr:nvPicPr>
        <xdr:cNvPr id="156" name="Imagem 216">
          <a:extLst>
            <a:ext uri="{FF2B5EF4-FFF2-40B4-BE49-F238E27FC236}">
              <a16:creationId xmlns:a16="http://schemas.microsoft.com/office/drawing/2014/main" id="{1D42D723-C2B2-4F09-82E3-885AE89F40E9}"/>
            </a:ext>
          </a:extLst>
        </xdr:cNvPr>
        <xdr:cNvPicPr/>
      </xdr:nvPicPr>
      <xdr:blipFill>
        <a:blip xmlns:r="http://schemas.openxmlformats.org/officeDocument/2006/relationships" r:embed="rId142"/>
        <a:stretch/>
      </xdr:blipFill>
      <xdr:spPr>
        <a:xfrm>
          <a:off x="25200" y="334973310"/>
          <a:ext cx="3457275" cy="1514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58680</xdr:colOff>
      <xdr:row>1632</xdr:row>
      <xdr:rowOff>2880</xdr:rowOff>
    </xdr:from>
    <xdr:to>
      <xdr:col>22</xdr:col>
      <xdr:colOff>1316895</xdr:colOff>
      <xdr:row>1640</xdr:row>
      <xdr:rowOff>178200</xdr:rowOff>
    </xdr:to>
    <xdr:pic>
      <xdr:nvPicPr>
        <xdr:cNvPr id="157" name="Imagem 43">
          <a:extLst>
            <a:ext uri="{FF2B5EF4-FFF2-40B4-BE49-F238E27FC236}">
              <a16:creationId xmlns:a16="http://schemas.microsoft.com/office/drawing/2014/main" id="{2D27D922-3F11-4575-822E-807CD1145A4C}"/>
            </a:ext>
          </a:extLst>
        </xdr:cNvPr>
        <xdr:cNvPicPr/>
      </xdr:nvPicPr>
      <xdr:blipFill>
        <a:blip xmlns:r="http://schemas.openxmlformats.org/officeDocument/2006/relationships" r:embed="rId143"/>
        <a:stretch/>
      </xdr:blipFill>
      <xdr:spPr>
        <a:xfrm>
          <a:off x="58680" y="347112930"/>
          <a:ext cx="2525040" cy="1699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1689840</xdr:colOff>
      <xdr:row>1639</xdr:row>
      <xdr:rowOff>148680</xdr:rowOff>
    </xdr:from>
    <xdr:to>
      <xdr:col>22</xdr:col>
      <xdr:colOff>404295</xdr:colOff>
      <xdr:row>1646</xdr:row>
      <xdr:rowOff>137880</xdr:rowOff>
    </xdr:to>
    <xdr:pic>
      <xdr:nvPicPr>
        <xdr:cNvPr id="158" name="Imagem 46">
          <a:extLst>
            <a:ext uri="{FF2B5EF4-FFF2-40B4-BE49-F238E27FC236}">
              <a16:creationId xmlns:a16="http://schemas.microsoft.com/office/drawing/2014/main" id="{97D7DFD2-0A4F-40EF-95FA-D906F97EAB1F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1689840" y="348592230"/>
          <a:ext cx="1800555" cy="1322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196200</xdr:colOff>
      <xdr:row>1669</xdr:row>
      <xdr:rowOff>64080</xdr:rowOff>
    </xdr:from>
    <xdr:to>
      <xdr:col>23</xdr:col>
      <xdr:colOff>406785</xdr:colOff>
      <xdr:row>1676</xdr:row>
      <xdr:rowOff>5400</xdr:rowOff>
    </xdr:to>
    <xdr:pic>
      <xdr:nvPicPr>
        <xdr:cNvPr id="159" name="Imagem 254">
          <a:extLst>
            <a:ext uri="{FF2B5EF4-FFF2-40B4-BE49-F238E27FC236}">
              <a16:creationId xmlns:a16="http://schemas.microsoft.com/office/drawing/2014/main" id="{C0BC1000-AE6F-4480-85AC-1E2A0DD7F15C}"/>
            </a:ext>
          </a:extLst>
        </xdr:cNvPr>
        <xdr:cNvPicPr/>
      </xdr:nvPicPr>
      <xdr:blipFill>
        <a:blip xmlns:r="http://schemas.openxmlformats.org/officeDocument/2006/relationships" r:embed="rId144"/>
        <a:stretch/>
      </xdr:blipFill>
      <xdr:spPr>
        <a:xfrm>
          <a:off x="196200" y="354670305"/>
          <a:ext cx="3058560" cy="12748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359280</xdr:colOff>
      <xdr:row>1422</xdr:row>
      <xdr:rowOff>331560</xdr:rowOff>
    </xdr:from>
    <xdr:to>
      <xdr:col>23</xdr:col>
      <xdr:colOff>52905</xdr:colOff>
      <xdr:row>1430</xdr:row>
      <xdr:rowOff>102375</xdr:rowOff>
    </xdr:to>
    <xdr:pic>
      <xdr:nvPicPr>
        <xdr:cNvPr id="160" name="Imagem 50">
          <a:extLst>
            <a:ext uri="{FF2B5EF4-FFF2-40B4-BE49-F238E27FC236}">
              <a16:creationId xmlns:a16="http://schemas.microsoft.com/office/drawing/2014/main" id="{E1BD1BDE-06D2-48C5-8696-B28530E4A9F2}"/>
            </a:ext>
          </a:extLst>
        </xdr:cNvPr>
        <xdr:cNvPicPr/>
      </xdr:nvPicPr>
      <xdr:blipFill>
        <a:blip xmlns:r="http://schemas.openxmlformats.org/officeDocument/2006/relationships" r:embed="rId145"/>
        <a:stretch/>
      </xdr:blipFill>
      <xdr:spPr>
        <a:xfrm>
          <a:off x="359280" y="304045710"/>
          <a:ext cx="2541600" cy="14376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382680</xdr:colOff>
      <xdr:row>1432</xdr:row>
      <xdr:rowOff>327960</xdr:rowOff>
    </xdr:from>
    <xdr:to>
      <xdr:col>23</xdr:col>
      <xdr:colOff>21945</xdr:colOff>
      <xdr:row>1440</xdr:row>
      <xdr:rowOff>17880</xdr:rowOff>
    </xdr:to>
    <xdr:pic>
      <xdr:nvPicPr>
        <xdr:cNvPr id="161" name="Imagem 51">
          <a:extLst>
            <a:ext uri="{FF2B5EF4-FFF2-40B4-BE49-F238E27FC236}">
              <a16:creationId xmlns:a16="http://schemas.microsoft.com/office/drawing/2014/main" id="{B2846C72-EB50-4227-A071-79BA1CED16B2}"/>
            </a:ext>
          </a:extLst>
        </xdr:cNvPr>
        <xdr:cNvPicPr/>
      </xdr:nvPicPr>
      <xdr:blipFill>
        <a:blip xmlns:r="http://schemas.openxmlformats.org/officeDocument/2006/relationships" r:embed="rId146"/>
        <a:stretch/>
      </xdr:blipFill>
      <xdr:spPr>
        <a:xfrm>
          <a:off x="382680" y="306118560"/>
          <a:ext cx="2487240" cy="13472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128</xdr:row>
      <xdr:rowOff>103320</xdr:rowOff>
    </xdr:from>
    <xdr:to>
      <xdr:col>24</xdr:col>
      <xdr:colOff>24480</xdr:colOff>
      <xdr:row>136</xdr:row>
      <xdr:rowOff>47580</xdr:rowOff>
    </xdr:to>
    <xdr:pic>
      <xdr:nvPicPr>
        <xdr:cNvPr id="162" name="Imagem 58">
          <a:extLst>
            <a:ext uri="{FF2B5EF4-FFF2-40B4-BE49-F238E27FC236}">
              <a16:creationId xmlns:a16="http://schemas.microsoft.com/office/drawing/2014/main" id="{285621BC-E474-4DAA-BD06-CED604806A80}"/>
            </a:ext>
          </a:extLst>
        </xdr:cNvPr>
        <xdr:cNvPicPr/>
      </xdr:nvPicPr>
      <xdr:blipFill>
        <a:blip xmlns:r="http://schemas.openxmlformats.org/officeDocument/2006/relationships" r:embed="rId147"/>
        <a:stretch/>
      </xdr:blipFill>
      <xdr:spPr>
        <a:xfrm>
          <a:off x="0" y="29145045"/>
          <a:ext cx="3453480" cy="1468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136080</xdr:colOff>
      <xdr:row>201</xdr:row>
      <xdr:rowOff>83880</xdr:rowOff>
    </xdr:from>
    <xdr:to>
      <xdr:col>23</xdr:col>
      <xdr:colOff>414705</xdr:colOff>
      <xdr:row>209</xdr:row>
      <xdr:rowOff>99420</xdr:rowOff>
    </xdr:to>
    <xdr:pic>
      <xdr:nvPicPr>
        <xdr:cNvPr id="163" name="Imagem 59">
          <a:extLst>
            <a:ext uri="{FF2B5EF4-FFF2-40B4-BE49-F238E27FC236}">
              <a16:creationId xmlns:a16="http://schemas.microsoft.com/office/drawing/2014/main" id="{68746B96-35FF-49CC-8CE4-E7AA84DD03D3}"/>
            </a:ext>
          </a:extLst>
        </xdr:cNvPr>
        <xdr:cNvPicPr/>
      </xdr:nvPicPr>
      <xdr:blipFill>
        <a:blip xmlns:r="http://schemas.openxmlformats.org/officeDocument/2006/relationships" r:embed="rId148"/>
        <a:stretch/>
      </xdr:blipFill>
      <xdr:spPr>
        <a:xfrm>
          <a:off x="136080" y="47613630"/>
          <a:ext cx="3126600" cy="15395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287</xdr:row>
      <xdr:rowOff>88920</xdr:rowOff>
    </xdr:from>
    <xdr:to>
      <xdr:col>23</xdr:col>
      <xdr:colOff>542145</xdr:colOff>
      <xdr:row>293</xdr:row>
      <xdr:rowOff>181650</xdr:rowOff>
    </xdr:to>
    <xdr:pic>
      <xdr:nvPicPr>
        <xdr:cNvPr id="164" name="Imagem 60">
          <a:extLst>
            <a:ext uri="{FF2B5EF4-FFF2-40B4-BE49-F238E27FC236}">
              <a16:creationId xmlns:a16="http://schemas.microsoft.com/office/drawing/2014/main" id="{01613A75-1C47-4BB5-8326-3CBBA017D218}"/>
            </a:ext>
          </a:extLst>
        </xdr:cNvPr>
        <xdr:cNvPicPr/>
      </xdr:nvPicPr>
      <xdr:blipFill>
        <a:blip xmlns:r="http://schemas.openxmlformats.org/officeDocument/2006/relationships" r:embed="rId149"/>
        <a:stretch/>
      </xdr:blipFill>
      <xdr:spPr>
        <a:xfrm>
          <a:off x="0" y="69021345"/>
          <a:ext cx="3390120" cy="12357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334</xdr:row>
      <xdr:rowOff>12960</xdr:rowOff>
    </xdr:from>
    <xdr:to>
      <xdr:col>23</xdr:col>
      <xdr:colOff>550785</xdr:colOff>
      <xdr:row>341</xdr:row>
      <xdr:rowOff>46590</xdr:rowOff>
    </xdr:to>
    <xdr:pic>
      <xdr:nvPicPr>
        <xdr:cNvPr id="165" name="Imagem 61">
          <a:extLst>
            <a:ext uri="{FF2B5EF4-FFF2-40B4-BE49-F238E27FC236}">
              <a16:creationId xmlns:a16="http://schemas.microsoft.com/office/drawing/2014/main" id="{CE31C39F-EFC6-4A20-8741-82D3E08AA254}"/>
            </a:ext>
          </a:extLst>
        </xdr:cNvPr>
        <xdr:cNvPicPr/>
      </xdr:nvPicPr>
      <xdr:blipFill>
        <a:blip xmlns:r="http://schemas.openxmlformats.org/officeDocument/2006/relationships" r:embed="rId150"/>
        <a:stretch/>
      </xdr:blipFill>
      <xdr:spPr>
        <a:xfrm>
          <a:off x="0" y="80642085"/>
          <a:ext cx="3398760" cy="13671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1113120</xdr:colOff>
      <xdr:row>1793</xdr:row>
      <xdr:rowOff>331560</xdr:rowOff>
    </xdr:from>
    <xdr:to>
      <xdr:col>23</xdr:col>
      <xdr:colOff>222900</xdr:colOff>
      <xdr:row>1801</xdr:row>
      <xdr:rowOff>141975</xdr:rowOff>
    </xdr:to>
    <xdr:pic>
      <xdr:nvPicPr>
        <xdr:cNvPr id="166" name="Imagem 29">
          <a:extLst>
            <a:ext uri="{FF2B5EF4-FFF2-40B4-BE49-F238E27FC236}">
              <a16:creationId xmlns:a16="http://schemas.microsoft.com/office/drawing/2014/main" id="{9A446EFE-3923-4299-8D65-9AEC014D8AB0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1113120" y="379931385"/>
          <a:ext cx="2634030" cy="1477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380880</xdr:colOff>
      <xdr:row>895</xdr:row>
      <xdr:rowOff>174960</xdr:rowOff>
    </xdr:from>
    <xdr:to>
      <xdr:col>23</xdr:col>
      <xdr:colOff>264945</xdr:colOff>
      <xdr:row>907</xdr:row>
      <xdr:rowOff>36000</xdr:rowOff>
    </xdr:to>
    <xdr:pic>
      <xdr:nvPicPr>
        <xdr:cNvPr id="167" name="image9.png">
          <a:extLst>
            <a:ext uri="{FF2B5EF4-FFF2-40B4-BE49-F238E27FC236}">
              <a16:creationId xmlns:a16="http://schemas.microsoft.com/office/drawing/2014/main" id="{2DE7AD2B-6E2D-478F-9B7C-573EF1E47809}"/>
            </a:ext>
          </a:extLst>
        </xdr:cNvPr>
        <xdr:cNvPicPr/>
      </xdr:nvPicPr>
      <xdr:blipFill>
        <a:blip xmlns:r="http://schemas.openxmlformats.org/officeDocument/2006/relationships" r:embed="rId151"/>
        <a:stretch/>
      </xdr:blipFill>
      <xdr:spPr>
        <a:xfrm>
          <a:off x="380880" y="198923610"/>
          <a:ext cx="2732040" cy="214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639360</xdr:colOff>
      <xdr:row>863</xdr:row>
      <xdr:rowOff>33480</xdr:rowOff>
    </xdr:from>
    <xdr:to>
      <xdr:col>23</xdr:col>
      <xdr:colOff>44715</xdr:colOff>
      <xdr:row>873</xdr:row>
      <xdr:rowOff>43920</xdr:rowOff>
    </xdr:to>
    <xdr:pic>
      <xdr:nvPicPr>
        <xdr:cNvPr id="168" name="image8.png">
          <a:extLst>
            <a:ext uri="{FF2B5EF4-FFF2-40B4-BE49-F238E27FC236}">
              <a16:creationId xmlns:a16="http://schemas.microsoft.com/office/drawing/2014/main" id="{140CF0AB-3B74-4F1B-9597-9B0A27B67455}"/>
            </a:ext>
          </a:extLst>
        </xdr:cNvPr>
        <xdr:cNvPicPr/>
      </xdr:nvPicPr>
      <xdr:blipFill>
        <a:blip xmlns:r="http://schemas.openxmlformats.org/officeDocument/2006/relationships" r:embed="rId152"/>
        <a:stretch/>
      </xdr:blipFill>
      <xdr:spPr>
        <a:xfrm>
          <a:off x="639360" y="192343230"/>
          <a:ext cx="2310480" cy="1915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1653</xdr:row>
      <xdr:rowOff>189000</xdr:rowOff>
    </xdr:from>
    <xdr:to>
      <xdr:col>23</xdr:col>
      <xdr:colOff>466185</xdr:colOff>
      <xdr:row>1663</xdr:row>
      <xdr:rowOff>112320</xdr:rowOff>
    </xdr:to>
    <xdr:pic>
      <xdr:nvPicPr>
        <xdr:cNvPr id="169" name="Imagem 6">
          <a:extLst>
            <a:ext uri="{FF2B5EF4-FFF2-40B4-BE49-F238E27FC236}">
              <a16:creationId xmlns:a16="http://schemas.microsoft.com/office/drawing/2014/main" id="{3EED6B33-DC86-4411-93AC-67A3FE65623E}"/>
            </a:ext>
          </a:extLst>
        </xdr:cNvPr>
        <xdr:cNvPicPr/>
      </xdr:nvPicPr>
      <xdr:blipFill>
        <a:blip xmlns:r="http://schemas.openxmlformats.org/officeDocument/2006/relationships" r:embed="rId153"/>
        <a:stretch/>
      </xdr:blipFill>
      <xdr:spPr>
        <a:xfrm>
          <a:off x="0" y="351471000"/>
          <a:ext cx="3314160" cy="182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934560</xdr:colOff>
      <xdr:row>1874</xdr:row>
      <xdr:rowOff>51120</xdr:rowOff>
    </xdr:from>
    <xdr:to>
      <xdr:col>22</xdr:col>
      <xdr:colOff>446790</xdr:colOff>
      <xdr:row>1882</xdr:row>
      <xdr:rowOff>14760</xdr:rowOff>
    </xdr:to>
    <xdr:pic>
      <xdr:nvPicPr>
        <xdr:cNvPr id="170" name="Imagem 8">
          <a:extLst>
            <a:ext uri="{FF2B5EF4-FFF2-40B4-BE49-F238E27FC236}">
              <a16:creationId xmlns:a16="http://schemas.microsoft.com/office/drawing/2014/main" id="{CD8DBA85-97FD-4A01-B721-B1F1F43C8960}"/>
            </a:ext>
          </a:extLst>
        </xdr:cNvPr>
        <xdr:cNvPicPr/>
      </xdr:nvPicPr>
      <xdr:blipFill>
        <a:blip xmlns:r="http://schemas.openxmlformats.org/officeDocument/2006/relationships" r:embed="rId154"/>
        <a:stretch/>
      </xdr:blipFill>
      <xdr:spPr>
        <a:xfrm>
          <a:off x="934560" y="396795945"/>
          <a:ext cx="1131480" cy="1487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53640</xdr:colOff>
      <xdr:row>1296</xdr:row>
      <xdr:rowOff>152640</xdr:rowOff>
    </xdr:from>
    <xdr:to>
      <xdr:col>23</xdr:col>
      <xdr:colOff>482025</xdr:colOff>
      <xdr:row>1303</xdr:row>
      <xdr:rowOff>63000</xdr:rowOff>
    </xdr:to>
    <xdr:sp macro="" textlink="">
      <xdr:nvSpPr>
        <xdr:cNvPr id="171" name="Figura 1">
          <a:extLst>
            <a:ext uri="{FF2B5EF4-FFF2-40B4-BE49-F238E27FC236}">
              <a16:creationId xmlns:a16="http://schemas.microsoft.com/office/drawing/2014/main" id="{80E0A30C-A1B2-4582-AB28-B50ECE16B630}"/>
            </a:ext>
          </a:extLst>
        </xdr:cNvPr>
        <xdr:cNvSpPr/>
      </xdr:nvSpPr>
      <xdr:spPr>
        <a:xfrm rot="21418800">
          <a:off x="53640" y="278492190"/>
          <a:ext cx="3276360" cy="1243860"/>
        </a:xfrm>
        <a:prstGeom prst="rect">
          <a:avLst/>
        </a:prstGeom>
        <a:blipFill rotWithShape="0">
          <a:blip xmlns:r="http://schemas.openxmlformats.org/officeDocument/2006/relationships" r:embed="rId80"/>
          <a:srcRect/>
          <a:stretch/>
        </a:blipFill>
        <a:ln w="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 anchor="t" anchorCtr="1">
          <a:noAutofit/>
        </a:bodyPr>
        <a:lstStyle/>
        <a:p>
          <a:pPr>
            <a:lnSpc>
              <a:spcPct val="100000"/>
            </a:lnSpc>
          </a:pPr>
          <a:r>
            <a:rPr lang="pt-BR" sz="1800" b="0" u="none" strike="noStrike">
              <a:solidFill>
                <a:srgbClr val="000000"/>
              </a:solidFill>
              <a:effectLst/>
              <a:uFillTx/>
              <a:latin typeface="Times New Roman"/>
              <a:ea typeface="Calibri"/>
            </a:rPr>
            <a:t>  </a:t>
          </a:r>
          <a:endParaRPr lang="pt-BR" sz="1800" b="0" u="none" strike="noStrike">
            <a:effectLst/>
            <a:uFillTx/>
            <a:latin typeface="Times New Roman"/>
          </a:endParaRPr>
        </a:p>
      </xdr:txBody>
    </xdr:sp>
    <xdr:clientData/>
  </xdr:twoCellAnchor>
  <xdr:twoCellAnchor editAs="oneCell">
    <xdr:from>
      <xdr:col>32</xdr:col>
      <xdr:colOff>3389400</xdr:colOff>
      <xdr:row>560</xdr:row>
      <xdr:rowOff>207720</xdr:rowOff>
    </xdr:from>
    <xdr:to>
      <xdr:col>32</xdr:col>
      <xdr:colOff>4939245</xdr:colOff>
      <xdr:row>562</xdr:row>
      <xdr:rowOff>99930</xdr:rowOff>
    </xdr:to>
    <xdr:pic>
      <xdr:nvPicPr>
        <xdr:cNvPr id="10" name="image11.jpg">
          <a:extLst>
            <a:ext uri="{FF2B5EF4-FFF2-40B4-BE49-F238E27FC236}">
              <a16:creationId xmlns:a16="http://schemas.microsoft.com/office/drawing/2014/main" id="{0C6CD7B9-D854-46BF-B086-23A44A06B0CB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6875550" y="59862795"/>
          <a:ext cx="321120" cy="292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32</xdr:col>
      <xdr:colOff>2940480</xdr:colOff>
      <xdr:row>502</xdr:row>
      <xdr:rowOff>223920</xdr:rowOff>
    </xdr:from>
    <xdr:to>
      <xdr:col>32</xdr:col>
      <xdr:colOff>5023680</xdr:colOff>
      <xdr:row>504</xdr:row>
      <xdr:rowOff>173400</xdr:rowOff>
    </xdr:to>
    <xdr:pic>
      <xdr:nvPicPr>
        <xdr:cNvPr id="11" name="image10.jpg">
          <a:extLst>
            <a:ext uri="{FF2B5EF4-FFF2-40B4-BE49-F238E27FC236}">
              <a16:creationId xmlns:a16="http://schemas.microsoft.com/office/drawing/2014/main" id="{BC5D4394-1EBE-4CA5-961E-EDE913187E68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6426630" y="92397345"/>
          <a:ext cx="406800" cy="368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32</xdr:col>
      <xdr:colOff>4476600</xdr:colOff>
      <xdr:row>608</xdr:row>
      <xdr:rowOff>46080</xdr:rowOff>
    </xdr:from>
    <xdr:to>
      <xdr:col>32</xdr:col>
      <xdr:colOff>4759620</xdr:colOff>
      <xdr:row>609</xdr:row>
      <xdr:rowOff>138510</xdr:rowOff>
    </xdr:to>
    <xdr:pic>
      <xdr:nvPicPr>
        <xdr:cNvPr id="12" name="image10.jpg">
          <a:extLst>
            <a:ext uri="{FF2B5EF4-FFF2-40B4-BE49-F238E27FC236}">
              <a16:creationId xmlns:a16="http://schemas.microsoft.com/office/drawing/2014/main" id="{16C1BABA-792F-49E5-84C6-51439DA2B206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962750" y="18667455"/>
          <a:ext cx="140145" cy="2829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32</xdr:col>
      <xdr:colOff>3650760</xdr:colOff>
      <xdr:row>167</xdr:row>
      <xdr:rowOff>136440</xdr:rowOff>
    </xdr:from>
    <xdr:to>
      <xdr:col>32</xdr:col>
      <xdr:colOff>4943430</xdr:colOff>
      <xdr:row>169</xdr:row>
      <xdr:rowOff>38730</xdr:rowOff>
    </xdr:to>
    <xdr:pic>
      <xdr:nvPicPr>
        <xdr:cNvPr id="13" name="image10.jpg">
          <a:extLst>
            <a:ext uri="{FF2B5EF4-FFF2-40B4-BE49-F238E27FC236}">
              <a16:creationId xmlns:a16="http://schemas.microsoft.com/office/drawing/2014/main" id="{8E4296D1-E881-4D33-8F39-B406000DF7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136910" y="108121365"/>
          <a:ext cx="321120" cy="283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421920</xdr:colOff>
      <xdr:row>1273</xdr:row>
      <xdr:rowOff>147240</xdr:rowOff>
    </xdr:from>
    <xdr:to>
      <xdr:col>32</xdr:col>
      <xdr:colOff>6949845</xdr:colOff>
      <xdr:row>1285</xdr:row>
      <xdr:rowOff>157080</xdr:rowOff>
    </xdr:to>
    <xdr:pic>
      <xdr:nvPicPr>
        <xdr:cNvPr id="14" name="Imagem 15">
          <a:extLst>
            <a:ext uri="{FF2B5EF4-FFF2-40B4-BE49-F238E27FC236}">
              <a16:creationId xmlns:a16="http://schemas.microsoft.com/office/drawing/2014/main" id="{CCBED725-28DD-418C-8461-76A57031295A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421920" y="274543440"/>
          <a:ext cx="3070350" cy="2295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183960</xdr:colOff>
      <xdr:row>1718</xdr:row>
      <xdr:rowOff>54720</xdr:rowOff>
    </xdr:from>
    <xdr:to>
      <xdr:col>32</xdr:col>
      <xdr:colOff>6947835</xdr:colOff>
      <xdr:row>1726</xdr:row>
      <xdr:rowOff>152280</xdr:rowOff>
    </xdr:to>
    <xdr:pic>
      <xdr:nvPicPr>
        <xdr:cNvPr id="15" name="Imagem 220">
          <a:extLst>
            <a:ext uri="{FF2B5EF4-FFF2-40B4-BE49-F238E27FC236}">
              <a16:creationId xmlns:a16="http://schemas.microsoft.com/office/drawing/2014/main" id="{5B2B2454-03EB-43B5-AE7A-D55B82967240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183960" y="365633745"/>
          <a:ext cx="3306300" cy="162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1689840</xdr:colOff>
      <xdr:row>1634</xdr:row>
      <xdr:rowOff>148680</xdr:rowOff>
    </xdr:from>
    <xdr:to>
      <xdr:col>32</xdr:col>
      <xdr:colOff>5843070</xdr:colOff>
      <xdr:row>1641</xdr:row>
      <xdr:rowOff>137880</xdr:rowOff>
    </xdr:to>
    <xdr:pic>
      <xdr:nvPicPr>
        <xdr:cNvPr id="20" name="Imagem 46">
          <a:extLst>
            <a:ext uri="{FF2B5EF4-FFF2-40B4-BE49-F238E27FC236}">
              <a16:creationId xmlns:a16="http://schemas.microsoft.com/office/drawing/2014/main" id="{6646C959-504F-4CBD-B2C0-DB64EB3C96F0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1689840" y="348592230"/>
          <a:ext cx="1800555" cy="1322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1113120</xdr:colOff>
      <xdr:row>1788</xdr:row>
      <xdr:rowOff>331560</xdr:rowOff>
    </xdr:from>
    <xdr:to>
      <xdr:col>32</xdr:col>
      <xdr:colOff>6671325</xdr:colOff>
      <xdr:row>1796</xdr:row>
      <xdr:rowOff>141975</xdr:rowOff>
    </xdr:to>
    <xdr:pic>
      <xdr:nvPicPr>
        <xdr:cNvPr id="21" name="Imagem 29">
          <a:extLst>
            <a:ext uri="{FF2B5EF4-FFF2-40B4-BE49-F238E27FC236}">
              <a16:creationId xmlns:a16="http://schemas.microsoft.com/office/drawing/2014/main" id="{C1580802-D1AB-422A-9073-310E64E8CF5B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1113120" y="379931385"/>
          <a:ext cx="2634030" cy="147729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Office">
      <a:majorFont>
        <a:latin typeface="Arial"/>
        <a:ea typeface="DejaVu Sans"/>
        <a:cs typeface="DejaVu Sans"/>
      </a:majorFont>
      <a:minorFont>
        <a:latin typeface="Arial"/>
        <a:ea typeface="DejaVu Sans"/>
        <a:cs typeface="DejaVu Sans"/>
      </a:minorFont>
    </a:fontScheme>
    <a:fmtScheme>
      <a:fillStyleLst>
        <a:solidFill>
          <a:schemeClr val="phClr"/>
        </a:solidFill>
        <a:solidFill>
          <a:schemeClr val="phClr"/>
        </a:solidFill>
        <a:solidFill>
          <a:schemeClr val="phClr"/>
        </a:solidFill>
      </a:fillStyleLst>
      <a:lnStyleLst>
        <a:ln w="6350" cap="flat" cmpd="sng" algn="ctr">
          <a:prstDash val="solid"/>
          <a:miter/>
        </a:ln>
        <a:ln w="6350" cap="flat" cmpd="sng" algn="ctr">
          <a:prstDash val="solid"/>
          <a:miter/>
        </a:ln>
        <a:ln w="6350" cap="flat" cmpd="sng" algn="ctr"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solidFill>
          <a:schemeClr val="phClr"/>
        </a:soli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63"/>
  <sheetViews>
    <sheetView topLeftCell="A4" zoomScale="70" zoomScaleNormal="70" workbookViewId="0">
      <selection activeCell="C24" sqref="C24"/>
    </sheetView>
  </sheetViews>
  <sheetFormatPr defaultColWidth="9.140625" defaultRowHeight="15.75" customHeight="1" x14ac:dyDescent="0.25"/>
  <cols>
    <col min="1" max="1" width="6.42578125" style="4" customWidth="1"/>
    <col min="2" max="2" width="31.42578125" style="4" customWidth="1"/>
    <col min="3" max="6" width="15.7109375" style="4" customWidth="1"/>
    <col min="7" max="7" width="35.42578125" style="4" customWidth="1"/>
    <col min="8" max="8" width="12" style="4" customWidth="1"/>
    <col min="9" max="9" width="10.140625" style="4" customWidth="1"/>
    <col min="10" max="10" width="22.140625" style="4" customWidth="1"/>
    <col min="11" max="11" width="16.7109375" style="4" customWidth="1"/>
    <col min="12" max="12" width="14" style="4" customWidth="1"/>
    <col min="13" max="13" width="9.140625" style="4"/>
    <col min="14" max="14" width="23.140625" style="4" customWidth="1"/>
    <col min="15" max="15" width="9.140625" style="5"/>
    <col min="16" max="24" width="9.140625" style="4"/>
    <col min="25" max="16384" width="9.140625" style="6"/>
  </cols>
  <sheetData>
    <row r="1" spans="2:16" ht="27" customHeight="1" x14ac:dyDescent="0.25">
      <c r="B1" s="3"/>
      <c r="C1" s="6"/>
      <c r="D1" s="7"/>
      <c r="E1" s="6"/>
      <c r="F1" s="6"/>
      <c r="G1" s="6"/>
      <c r="H1" s="6"/>
      <c r="I1" s="6"/>
      <c r="J1" s="6"/>
      <c r="K1" s="6"/>
      <c r="L1" s="6"/>
      <c r="O1" s="8"/>
      <c r="P1" s="9"/>
    </row>
    <row r="2" spans="2:16" ht="27" customHeight="1" x14ac:dyDescent="0.25">
      <c r="B2" s="3"/>
      <c r="C2" s="6"/>
      <c r="D2" s="7"/>
      <c r="E2" s="6"/>
      <c r="F2" s="6"/>
      <c r="G2" s="6"/>
      <c r="H2" s="174"/>
      <c r="I2" s="174"/>
      <c r="J2" s="174"/>
      <c r="K2" s="174"/>
      <c r="L2" s="174"/>
      <c r="O2" s="8"/>
      <c r="P2" s="9"/>
    </row>
    <row r="3" spans="2:16" ht="27" customHeight="1" x14ac:dyDescent="0.25">
      <c r="B3" s="3"/>
      <c r="C3" s="6"/>
      <c r="D3" s="7"/>
      <c r="E3" s="6"/>
      <c r="F3" s="6"/>
      <c r="G3" s="6"/>
      <c r="H3" s="174"/>
      <c r="I3" s="174"/>
      <c r="J3" s="174"/>
      <c r="K3" s="174"/>
      <c r="L3" s="174"/>
      <c r="O3" s="8"/>
      <c r="P3" s="9"/>
    </row>
    <row r="4" spans="2:16" ht="27" customHeight="1" x14ac:dyDescent="0.25">
      <c r="B4" s="3"/>
      <c r="C4" s="6"/>
      <c r="D4" s="7"/>
      <c r="E4" s="6"/>
      <c r="F4" s="6"/>
      <c r="G4" s="6"/>
      <c r="H4" s="174"/>
      <c r="I4" s="174"/>
      <c r="J4" s="174"/>
      <c r="K4" s="174"/>
      <c r="L4" s="174"/>
      <c r="O4" s="8"/>
      <c r="P4" s="9"/>
    </row>
    <row r="5" spans="2:16" ht="27" customHeight="1" x14ac:dyDescent="0.25">
      <c r="B5" s="3"/>
      <c r="C5" s="6"/>
      <c r="D5" s="7"/>
      <c r="E5" s="6"/>
      <c r="F5" s="6"/>
      <c r="G5" s="6"/>
      <c r="H5" s="174"/>
      <c r="I5" s="174"/>
      <c r="J5" s="174"/>
      <c r="K5" s="174"/>
      <c r="L5" s="174"/>
      <c r="O5" s="8"/>
      <c r="P5" s="9"/>
    </row>
    <row r="6" spans="2:16" ht="15.75" customHeight="1" x14ac:dyDescent="0.25">
      <c r="B6" s="3"/>
      <c r="C6" s="6"/>
      <c r="D6" s="7"/>
      <c r="E6" s="6"/>
      <c r="F6" s="6"/>
      <c r="G6" s="6"/>
      <c r="H6" s="174"/>
      <c r="I6" s="174"/>
      <c r="J6" s="174"/>
      <c r="K6" s="174"/>
      <c r="L6" s="174"/>
      <c r="O6" s="8"/>
      <c r="P6" s="9"/>
    </row>
    <row r="7" spans="2:16" ht="15.75" customHeight="1" x14ac:dyDescent="0.25">
      <c r="B7" s="10"/>
      <c r="C7" s="6"/>
      <c r="D7" s="7"/>
      <c r="E7" s="6"/>
      <c r="F7" s="6"/>
      <c r="G7" s="6"/>
      <c r="H7" s="11" t="s">
        <v>0</v>
      </c>
      <c r="I7" s="11"/>
      <c r="J7" s="11"/>
      <c r="K7" s="11"/>
      <c r="L7" s="11"/>
      <c r="O7" s="8"/>
      <c r="P7" s="9"/>
    </row>
    <row r="8" spans="2:16" ht="15.75" customHeight="1" x14ac:dyDescent="0.25">
      <c r="B8" s="12"/>
      <c r="C8" s="13"/>
      <c r="D8" s="14"/>
      <c r="E8" s="6"/>
      <c r="F8" s="6"/>
      <c r="G8" s="6"/>
      <c r="H8" s="15" t="s">
        <v>1</v>
      </c>
      <c r="I8" s="15"/>
      <c r="J8" s="15"/>
      <c r="K8" s="15"/>
      <c r="L8" s="15"/>
      <c r="O8" s="8"/>
      <c r="P8" s="9"/>
    </row>
    <row r="9" spans="2:16" ht="15.75" customHeight="1" x14ac:dyDescent="0.25">
      <c r="B9" s="6"/>
      <c r="C9" s="6"/>
      <c r="D9" s="6"/>
      <c r="E9" s="6"/>
      <c r="F9" s="6"/>
      <c r="G9" s="6"/>
      <c r="H9" s="6" t="s">
        <v>2</v>
      </c>
      <c r="I9" s="15"/>
      <c r="J9" s="15"/>
      <c r="K9" s="15"/>
      <c r="L9" s="15"/>
      <c r="O9" s="8"/>
      <c r="P9" s="9"/>
    </row>
    <row r="10" spans="2:16" ht="15.75" customHeight="1" x14ac:dyDescent="0.25">
      <c r="B10" s="6"/>
      <c r="C10" s="6"/>
      <c r="D10" s="6"/>
      <c r="E10" s="6"/>
      <c r="F10" s="6"/>
      <c r="G10" s="6"/>
      <c r="H10" s="6" t="s">
        <v>3</v>
      </c>
      <c r="I10" s="15"/>
      <c r="J10" s="15"/>
      <c r="K10" s="15"/>
      <c r="L10" s="15"/>
      <c r="O10" s="8"/>
      <c r="P10" s="9"/>
    </row>
    <row r="11" spans="2:16" ht="15.75" customHeight="1" x14ac:dyDescent="0.25">
      <c r="B11" s="6"/>
      <c r="C11" s="6"/>
      <c r="D11" s="6"/>
      <c r="E11" s="6"/>
      <c r="F11" s="6"/>
      <c r="G11" s="6"/>
      <c r="H11" s="6" t="s">
        <v>4</v>
      </c>
      <c r="I11" s="15"/>
      <c r="J11" s="15"/>
      <c r="K11" s="15"/>
      <c r="L11" s="15"/>
      <c r="O11" s="8"/>
      <c r="P11" s="9"/>
    </row>
    <row r="12" spans="2:16" ht="15.75" customHeight="1" x14ac:dyDescent="0.25">
      <c r="B12" s="11" t="s">
        <v>5</v>
      </c>
      <c r="C12" s="6"/>
      <c r="D12" s="6"/>
      <c r="E12" s="6"/>
      <c r="F12" s="6"/>
      <c r="G12" s="6"/>
      <c r="H12" s="6" t="s">
        <v>6</v>
      </c>
      <c r="I12" s="6"/>
      <c r="J12" s="6"/>
      <c r="K12" s="6"/>
      <c r="L12" s="6"/>
      <c r="O12" s="8"/>
      <c r="P12" s="9"/>
    </row>
    <row r="13" spans="2:16" ht="15.75" customHeight="1" x14ac:dyDescent="0.25">
      <c r="B13" s="6" t="s">
        <v>7</v>
      </c>
      <c r="C13" s="6"/>
      <c r="D13" s="6"/>
      <c r="E13" s="6"/>
      <c r="F13" s="6"/>
      <c r="G13" s="6"/>
      <c r="H13" s="6" t="s">
        <v>8</v>
      </c>
      <c r="I13" s="6"/>
      <c r="J13" s="6"/>
      <c r="K13" s="6"/>
      <c r="L13" s="6"/>
      <c r="O13" s="8"/>
      <c r="P13" s="9"/>
    </row>
    <row r="14" spans="2:16" ht="15.75" customHeight="1" x14ac:dyDescent="0.25">
      <c r="B14" s="6" t="s">
        <v>9</v>
      </c>
      <c r="C14" s="6"/>
      <c r="D14" s="6"/>
      <c r="E14" s="6"/>
      <c r="F14" s="6"/>
      <c r="G14" s="6"/>
      <c r="H14" s="6"/>
      <c r="I14" s="6"/>
      <c r="J14" s="6"/>
      <c r="K14" s="6"/>
      <c r="L14" s="6"/>
      <c r="O14" s="8"/>
      <c r="P14" s="9"/>
    </row>
    <row r="15" spans="2:16" ht="15.75" customHeight="1" x14ac:dyDescent="0.25">
      <c r="B15" s="6" t="s">
        <v>10</v>
      </c>
      <c r="C15" s="6"/>
      <c r="D15" s="6"/>
      <c r="E15" s="6"/>
      <c r="F15" s="6"/>
      <c r="G15" s="6"/>
      <c r="H15" s="6" t="s">
        <v>11</v>
      </c>
      <c r="I15" s="6"/>
      <c r="J15" s="6"/>
      <c r="K15" s="6"/>
      <c r="L15" s="6"/>
      <c r="O15" s="8"/>
      <c r="P15" s="9"/>
    </row>
    <row r="16" spans="2:16" ht="15.75" customHeight="1" x14ac:dyDescent="0.25">
      <c r="B16" s="6" t="s">
        <v>12</v>
      </c>
      <c r="C16" s="6"/>
      <c r="D16" s="14"/>
      <c r="E16" s="6"/>
      <c r="F16" s="6"/>
      <c r="G16" s="6"/>
      <c r="H16" s="6" t="s">
        <v>13</v>
      </c>
      <c r="I16" s="6"/>
      <c r="J16" s="6"/>
      <c r="K16" s="6"/>
      <c r="L16" s="6"/>
      <c r="O16" s="8"/>
      <c r="P16" s="9"/>
    </row>
    <row r="17" spans="2:16" ht="15.75" customHeight="1" x14ac:dyDescent="0.25">
      <c r="B17" s="6" t="s">
        <v>14</v>
      </c>
      <c r="C17" s="6"/>
      <c r="D17" s="14"/>
      <c r="E17" s="6"/>
      <c r="F17" s="6"/>
      <c r="G17" s="6"/>
      <c r="H17" s="6" t="s">
        <v>15</v>
      </c>
      <c r="I17" s="6"/>
      <c r="J17" s="6"/>
      <c r="K17" s="6"/>
      <c r="L17" s="6"/>
      <c r="O17" s="8"/>
      <c r="P17" s="9"/>
    </row>
    <row r="18" spans="2:16" ht="15.75" customHeight="1" x14ac:dyDescent="0.25">
      <c r="B18" s="11" t="s">
        <v>16</v>
      </c>
      <c r="C18" s="6"/>
      <c r="D18" s="14"/>
      <c r="E18" s="6"/>
      <c r="F18" s="6"/>
      <c r="G18" s="6"/>
      <c r="H18" s="6" t="s">
        <v>17</v>
      </c>
      <c r="I18" s="6"/>
      <c r="J18" s="6"/>
      <c r="K18" s="6"/>
      <c r="L18" s="6"/>
      <c r="O18" s="8"/>
      <c r="P18" s="9"/>
    </row>
    <row r="19" spans="2:16" ht="15.75" customHeight="1" x14ac:dyDescent="0.25">
      <c r="B19" s="11" t="s">
        <v>18</v>
      </c>
      <c r="C19" s="6"/>
      <c r="D19" s="14"/>
      <c r="E19" s="6"/>
      <c r="F19" s="6"/>
      <c r="G19" s="6"/>
      <c r="H19" s="6" t="s">
        <v>19</v>
      </c>
      <c r="I19" s="6"/>
      <c r="J19" s="6"/>
      <c r="K19" s="6"/>
      <c r="L19" s="6"/>
      <c r="O19" s="8"/>
      <c r="P19" s="9"/>
    </row>
    <row r="20" spans="2:16" ht="15.75" customHeight="1" x14ac:dyDescent="0.25">
      <c r="B20" s="6"/>
      <c r="C20" s="6"/>
      <c r="D20" s="14"/>
      <c r="E20" s="6"/>
      <c r="F20" s="6"/>
      <c r="G20" s="6"/>
      <c r="H20" s="6" t="s">
        <v>20</v>
      </c>
      <c r="I20" s="6"/>
      <c r="J20" s="6"/>
      <c r="K20" s="6"/>
      <c r="L20" s="6"/>
      <c r="O20" s="8"/>
      <c r="P20" s="9"/>
    </row>
    <row r="21" spans="2:16" ht="15.75" customHeight="1" x14ac:dyDescent="0.25">
      <c r="B21" s="11"/>
      <c r="C21" s="6"/>
      <c r="D21" s="14"/>
      <c r="E21" s="6"/>
      <c r="F21" s="6"/>
      <c r="G21" s="6"/>
      <c r="H21" s="6" t="s">
        <v>21</v>
      </c>
      <c r="I21" s="6"/>
      <c r="J21" s="6"/>
      <c r="K21" s="6"/>
      <c r="L21" s="6"/>
      <c r="O21" s="8"/>
      <c r="P21" s="9"/>
    </row>
    <row r="22" spans="2:16" ht="15.75" customHeight="1" x14ac:dyDescent="0.25">
      <c r="B22" s="11"/>
      <c r="C22" s="6"/>
      <c r="D22" s="14"/>
      <c r="E22" s="6"/>
      <c r="F22" s="6"/>
      <c r="G22" s="6"/>
      <c r="H22" s="6"/>
      <c r="I22" s="6"/>
      <c r="J22" s="6"/>
      <c r="K22" s="6"/>
      <c r="L22" s="6"/>
      <c r="O22" s="8"/>
      <c r="P22" s="9"/>
    </row>
    <row r="23" spans="2:16" ht="15.75" customHeight="1" x14ac:dyDescent="0.25">
      <c r="B23" s="11"/>
      <c r="C23" s="6"/>
      <c r="D23" s="14"/>
      <c r="E23" s="6"/>
      <c r="F23" s="6"/>
      <c r="G23" s="6"/>
      <c r="H23" s="6"/>
      <c r="I23" s="6"/>
      <c r="J23" s="6"/>
      <c r="K23" s="6"/>
      <c r="L23" s="6"/>
      <c r="O23" s="8"/>
      <c r="P23" s="9"/>
    </row>
    <row r="24" spans="2:16" ht="15.75" customHeight="1" x14ac:dyDescent="0.25">
      <c r="B24" s="11"/>
      <c r="C24" s="6"/>
      <c r="D24" s="14"/>
      <c r="E24" s="6"/>
      <c r="F24" s="6"/>
      <c r="G24" s="6"/>
      <c r="H24" s="6"/>
      <c r="I24" s="6"/>
      <c r="J24" s="6"/>
      <c r="K24" s="6"/>
      <c r="L24" s="6"/>
      <c r="O24" s="8"/>
      <c r="P24" s="9"/>
    </row>
    <row r="25" spans="2:16" ht="15.75" customHeight="1" x14ac:dyDescent="0.25">
      <c r="B25" s="3"/>
      <c r="C25" s="16"/>
      <c r="D25" s="14"/>
      <c r="E25" s="6"/>
      <c r="F25" s="6"/>
      <c r="G25" s="6"/>
      <c r="O25" s="8"/>
      <c r="P25" s="9"/>
    </row>
    <row r="26" spans="2:16" ht="15.75" customHeight="1" x14ac:dyDescent="0.3">
      <c r="B26" s="3"/>
      <c r="C26" s="16"/>
      <c r="D26" s="14"/>
      <c r="E26" s="6"/>
      <c r="F26" s="6"/>
      <c r="G26" s="6"/>
      <c r="H26" s="175" t="s">
        <v>22</v>
      </c>
      <c r="I26" s="175"/>
      <c r="J26" s="175"/>
      <c r="K26" s="17"/>
      <c r="L26" s="18"/>
      <c r="O26" s="8"/>
      <c r="P26" s="9"/>
    </row>
    <row r="27" spans="2:16" ht="15.75" customHeight="1" x14ac:dyDescent="0.3">
      <c r="B27" s="6"/>
      <c r="C27" s="6"/>
      <c r="D27" s="6"/>
      <c r="E27" s="6"/>
      <c r="F27" s="6"/>
      <c r="G27" s="6"/>
      <c r="H27" s="175"/>
      <c r="I27" s="175"/>
      <c r="J27" s="175"/>
      <c r="K27" s="18"/>
      <c r="L27" s="18"/>
      <c r="O27" s="8"/>
      <c r="P27" s="9"/>
    </row>
    <row r="28" spans="2:16" ht="15.75" customHeight="1" x14ac:dyDescent="0.3">
      <c r="B28" s="176" t="s">
        <v>23</v>
      </c>
      <c r="C28" s="177" t="s">
        <v>24</v>
      </c>
      <c r="D28" s="177"/>
      <c r="E28" s="177"/>
      <c r="F28" s="177"/>
      <c r="G28" s="6"/>
      <c r="H28" s="178" t="s">
        <v>25</v>
      </c>
      <c r="I28" s="178"/>
      <c r="J28" s="19">
        <v>0.2</v>
      </c>
      <c r="K28" s="18"/>
      <c r="L28" s="17" t="s">
        <v>26</v>
      </c>
      <c r="O28" s="8"/>
      <c r="P28" s="9"/>
    </row>
    <row r="29" spans="2:16" ht="15.75" customHeight="1" x14ac:dyDescent="0.3">
      <c r="B29" s="176"/>
      <c r="C29" s="177"/>
      <c r="D29" s="177"/>
      <c r="E29" s="177"/>
      <c r="F29" s="177"/>
      <c r="G29" s="6"/>
      <c r="H29" s="179" t="s">
        <v>27</v>
      </c>
      <c r="I29" s="179"/>
      <c r="J29" s="20">
        <v>0.15</v>
      </c>
      <c r="K29" s="18"/>
      <c r="L29" s="17"/>
      <c r="O29" s="8"/>
      <c r="P29" s="9"/>
    </row>
    <row r="30" spans="2:16" ht="15.75" customHeight="1" x14ac:dyDescent="0.3">
      <c r="B30" s="176"/>
      <c r="C30" s="177"/>
      <c r="D30" s="177"/>
      <c r="E30" s="177"/>
      <c r="F30" s="177"/>
      <c r="G30" s="6"/>
      <c r="H30" s="179" t="s">
        <v>28</v>
      </c>
      <c r="I30" s="179"/>
      <c r="J30" s="20">
        <v>0.1</v>
      </c>
      <c r="K30" s="18"/>
      <c r="L30" s="17"/>
      <c r="O30" s="8"/>
      <c r="P30" s="9"/>
    </row>
    <row r="31" spans="2:16" ht="15.75" customHeight="1" x14ac:dyDescent="0.3">
      <c r="B31" s="176"/>
      <c r="C31" s="177"/>
      <c r="D31" s="177"/>
      <c r="E31" s="177"/>
      <c r="F31" s="177"/>
      <c r="G31" s="6"/>
      <c r="H31" s="21" t="s">
        <v>29</v>
      </c>
      <c r="I31" s="22"/>
      <c r="J31" s="20">
        <v>0.05</v>
      </c>
      <c r="K31" s="18"/>
      <c r="L31" s="18"/>
      <c r="O31" s="8"/>
      <c r="P31" s="9"/>
    </row>
    <row r="32" spans="2:16" ht="15.75" customHeight="1" x14ac:dyDescent="0.3">
      <c r="B32" s="180" t="s">
        <v>30</v>
      </c>
      <c r="C32" s="181" t="s">
        <v>31</v>
      </c>
      <c r="D32" s="181"/>
      <c r="E32" s="181"/>
      <c r="F32" s="181"/>
      <c r="G32" s="6"/>
      <c r="H32" s="182" t="s">
        <v>32</v>
      </c>
      <c r="I32" s="182"/>
      <c r="J32" s="23">
        <v>0</v>
      </c>
      <c r="K32" s="18"/>
      <c r="L32" s="18"/>
      <c r="O32" s="8"/>
      <c r="P32" s="9"/>
    </row>
    <row r="33" spans="2:16" ht="15.75" customHeight="1" x14ac:dyDescent="0.3">
      <c r="B33" s="180"/>
      <c r="C33" s="181"/>
      <c r="D33" s="181"/>
      <c r="E33" s="181"/>
      <c r="F33" s="181"/>
      <c r="G33" s="6"/>
      <c r="H33" s="18"/>
      <c r="I33" s="18"/>
      <c r="J33" s="18"/>
      <c r="K33" s="18"/>
      <c r="L33" s="18"/>
      <c r="O33" s="8"/>
      <c r="P33" s="9"/>
    </row>
    <row r="34" spans="2:16" ht="15.75" customHeight="1" x14ac:dyDescent="0.25">
      <c r="B34" s="180"/>
      <c r="C34" s="181"/>
      <c r="D34" s="181"/>
      <c r="E34" s="181"/>
      <c r="F34" s="181"/>
      <c r="G34" s="6"/>
      <c r="O34" s="8"/>
      <c r="P34" s="9"/>
    </row>
    <row r="35" spans="2:16" ht="15.75" customHeight="1" x14ac:dyDescent="0.25">
      <c r="B35" s="180" t="s">
        <v>33</v>
      </c>
      <c r="C35" s="181" t="s">
        <v>34</v>
      </c>
      <c r="D35" s="181"/>
      <c r="E35" s="181"/>
      <c r="F35" s="181"/>
      <c r="G35" s="6"/>
      <c r="O35" s="8"/>
      <c r="P35" s="9"/>
    </row>
    <row r="36" spans="2:16" ht="15.75" customHeight="1" x14ac:dyDescent="0.25">
      <c r="B36" s="180"/>
      <c r="C36" s="181"/>
      <c r="D36" s="181"/>
      <c r="E36" s="181"/>
      <c r="F36" s="181"/>
      <c r="G36" s="6"/>
      <c r="O36" s="8"/>
      <c r="P36" s="9"/>
    </row>
    <row r="37" spans="2:16" ht="15.75" customHeight="1" x14ac:dyDescent="0.25">
      <c r="B37" s="180"/>
      <c r="C37" s="181"/>
      <c r="D37" s="181"/>
      <c r="E37" s="181"/>
      <c r="F37" s="181"/>
      <c r="G37" s="6"/>
      <c r="O37" s="8"/>
      <c r="P37" s="9"/>
    </row>
    <row r="38" spans="2:16" ht="15.75" customHeight="1" x14ac:dyDescent="0.25">
      <c r="B38" s="180"/>
      <c r="C38" s="181"/>
      <c r="D38" s="181"/>
      <c r="E38" s="181"/>
      <c r="F38" s="181"/>
      <c r="G38" s="6"/>
      <c r="O38" s="8"/>
      <c r="P38" s="9"/>
    </row>
    <row r="39" spans="2:16" ht="26.25" customHeight="1" x14ac:dyDescent="0.25">
      <c r="B39" s="24" t="s">
        <v>35</v>
      </c>
      <c r="C39" s="184" t="s">
        <v>36</v>
      </c>
      <c r="D39" s="184"/>
      <c r="E39" s="184"/>
      <c r="F39" s="184"/>
      <c r="G39" s="6"/>
      <c r="O39" s="8"/>
      <c r="P39" s="9"/>
    </row>
    <row r="40" spans="2:16" ht="15.75" customHeight="1" x14ac:dyDescent="0.25">
      <c r="B40" s="3"/>
      <c r="C40" s="6"/>
      <c r="D40" s="7"/>
      <c r="E40" s="6"/>
      <c r="F40" s="6"/>
      <c r="G40" s="6"/>
      <c r="O40" s="8"/>
      <c r="P40" s="9"/>
    </row>
    <row r="41" spans="2:16" ht="15.75" customHeight="1" x14ac:dyDescent="0.25">
      <c r="B41" s="185"/>
      <c r="C41" s="185"/>
      <c r="D41" s="25"/>
      <c r="E41" s="26"/>
      <c r="O41" s="8"/>
    </row>
    <row r="42" spans="2:16" s="4" customFormat="1" ht="15.75" customHeight="1" x14ac:dyDescent="0.25">
      <c r="B42" s="185"/>
      <c r="C42" s="185"/>
      <c r="D42" s="25"/>
      <c r="E42" s="26"/>
      <c r="O42" s="8"/>
    </row>
    <row r="43" spans="2:16" s="4" customFormat="1" ht="15.75" customHeight="1" x14ac:dyDescent="0.25">
      <c r="B43" s="185"/>
      <c r="C43" s="185"/>
      <c r="D43" s="25"/>
      <c r="E43" s="26"/>
      <c r="O43" s="8"/>
    </row>
    <row r="44" spans="2:16" s="4" customFormat="1" ht="15.75" customHeight="1" x14ac:dyDescent="0.25">
      <c r="B44" s="185"/>
      <c r="C44" s="185"/>
      <c r="D44" s="27"/>
      <c r="E44" s="26"/>
      <c r="O44" s="8"/>
    </row>
    <row r="45" spans="2:16" s="4" customFormat="1" ht="15.75" customHeight="1" x14ac:dyDescent="0.25">
      <c r="B45" s="2"/>
      <c r="C45" s="28"/>
      <c r="D45" s="29"/>
      <c r="E45" s="26"/>
      <c r="O45" s="8"/>
    </row>
    <row r="46" spans="2:16" s="4" customFormat="1" ht="15.75" customHeight="1" x14ac:dyDescent="0.25">
      <c r="B46" s="2"/>
      <c r="C46" s="28"/>
      <c r="D46" s="29"/>
      <c r="E46" s="26"/>
      <c r="O46" s="8"/>
    </row>
    <row r="47" spans="2:16" s="4" customFormat="1" ht="15.75" customHeight="1" x14ac:dyDescent="0.25">
      <c r="B47" s="2"/>
      <c r="C47" s="28"/>
      <c r="D47" s="29"/>
      <c r="E47" s="26"/>
      <c r="O47" s="8"/>
    </row>
    <row r="48" spans="2:16" s="4" customFormat="1" ht="15.75" customHeight="1" x14ac:dyDescent="0.25">
      <c r="B48" s="2"/>
      <c r="C48" s="28"/>
      <c r="D48" s="29"/>
      <c r="E48" s="26"/>
      <c r="O48" s="8"/>
    </row>
    <row r="49" spans="2:15" s="4" customFormat="1" x14ac:dyDescent="0.25">
      <c r="B49" s="2"/>
      <c r="C49" s="28"/>
      <c r="D49" s="29"/>
      <c r="E49" s="26"/>
      <c r="O49" s="8"/>
    </row>
    <row r="50" spans="2:15" s="4" customFormat="1" x14ac:dyDescent="0.25">
      <c r="B50" s="2"/>
      <c r="C50" s="28"/>
      <c r="D50" s="29"/>
      <c r="E50" s="26"/>
      <c r="O50" s="8"/>
    </row>
    <row r="51" spans="2:15" s="4" customFormat="1" x14ac:dyDescent="0.25">
      <c r="B51" s="2"/>
      <c r="C51" s="28"/>
      <c r="D51" s="29"/>
      <c r="E51" s="26"/>
      <c r="O51" s="8"/>
    </row>
    <row r="52" spans="2:15" s="4" customFormat="1" x14ac:dyDescent="0.25">
      <c r="B52" s="2"/>
      <c r="C52" s="28"/>
      <c r="D52" s="29"/>
      <c r="E52" s="26"/>
      <c r="O52" s="8"/>
    </row>
    <row r="53" spans="2:15" s="4" customFormat="1" x14ac:dyDescent="0.25">
      <c r="B53" s="2"/>
      <c r="C53" s="28"/>
      <c r="D53" s="29"/>
      <c r="E53" s="26"/>
      <c r="O53" s="8"/>
    </row>
    <row r="54" spans="2:15" s="4" customFormat="1" x14ac:dyDescent="0.25">
      <c r="B54" s="2"/>
      <c r="C54" s="28"/>
      <c r="D54" s="30"/>
      <c r="E54" s="26"/>
      <c r="O54" s="8"/>
    </row>
    <row r="55" spans="2:15" s="4" customFormat="1" x14ac:dyDescent="0.25">
      <c r="B55" s="2"/>
      <c r="C55" s="28"/>
      <c r="D55" s="30"/>
      <c r="E55" s="26"/>
      <c r="O55" s="8"/>
    </row>
    <row r="56" spans="2:15" s="4" customFormat="1" x14ac:dyDescent="0.25">
      <c r="B56" s="2"/>
      <c r="C56" s="28"/>
      <c r="D56" s="30"/>
      <c r="E56" s="26"/>
      <c r="O56" s="8"/>
    </row>
    <row r="57" spans="2:15" s="4" customFormat="1" x14ac:dyDescent="0.25">
      <c r="B57" s="2"/>
      <c r="C57" s="28"/>
      <c r="D57" s="30"/>
      <c r="E57" s="26"/>
      <c r="O57" s="8"/>
    </row>
    <row r="58" spans="2:15" s="4" customFormat="1" x14ac:dyDescent="0.25">
      <c r="B58" s="31"/>
      <c r="C58" s="28"/>
      <c r="D58" s="30"/>
      <c r="E58" s="26"/>
      <c r="O58" s="8"/>
    </row>
    <row r="59" spans="2:15" s="4" customFormat="1" x14ac:dyDescent="0.25">
      <c r="B59" s="2"/>
      <c r="C59" s="28"/>
      <c r="D59" s="30"/>
      <c r="E59" s="26"/>
      <c r="O59" s="8"/>
    </row>
    <row r="60" spans="2:15" s="4" customFormat="1" x14ac:dyDescent="0.25">
      <c r="B60" s="31"/>
      <c r="C60" s="1"/>
      <c r="D60" s="32"/>
      <c r="E60" s="26"/>
      <c r="O60" s="8"/>
    </row>
    <row r="61" spans="2:15" s="4" customFormat="1" x14ac:dyDescent="0.25">
      <c r="B61" s="183"/>
      <c r="C61" s="183"/>
      <c r="D61" s="25"/>
      <c r="E61" s="26"/>
      <c r="O61" s="8"/>
    </row>
    <row r="62" spans="2:15" s="4" customFormat="1" x14ac:dyDescent="0.25">
      <c r="B62" s="183"/>
      <c r="C62" s="183"/>
      <c r="D62" s="25"/>
      <c r="E62" s="26"/>
      <c r="O62" s="8"/>
    </row>
    <row r="63" spans="2:15" s="4" customFormat="1" x14ac:dyDescent="0.25">
      <c r="B63" s="183"/>
      <c r="C63" s="183"/>
      <c r="D63" s="25"/>
      <c r="E63" s="26"/>
    </row>
  </sheetData>
  <mergeCells count="22">
    <mergeCell ref="B61:C61"/>
    <mergeCell ref="B62:C62"/>
    <mergeCell ref="B63:C63"/>
    <mergeCell ref="C39:F39"/>
    <mergeCell ref="B41:C41"/>
    <mergeCell ref="B42:C42"/>
    <mergeCell ref="B43:C43"/>
    <mergeCell ref="B44:C44"/>
    <mergeCell ref="B32:B34"/>
    <mergeCell ref="C32:F34"/>
    <mergeCell ref="H32:I32"/>
    <mergeCell ref="B35:B38"/>
    <mergeCell ref="C35:F38"/>
    <mergeCell ref="H2:L3"/>
    <mergeCell ref="H4:L4"/>
    <mergeCell ref="H5:L6"/>
    <mergeCell ref="H26:J27"/>
    <mergeCell ref="B28:B31"/>
    <mergeCell ref="C28:F31"/>
    <mergeCell ref="H28:I28"/>
    <mergeCell ref="H29:I29"/>
    <mergeCell ref="H30:I30"/>
  </mergeCells>
  <pageMargins left="0.51180555555555596" right="0.51180555555555596" top="0.78749999999999998" bottom="0.78749999999999998" header="0.511811023622047" footer="0.511811023622047"/>
  <pageSetup paperSize="9" scale="55" orientation="landscape" horizontalDpi="300" verticalDpi="300"/>
  <rowBreaks count="1" manualBreakCount="1">
    <brk id="41" max="16383" man="1"/>
  </rowBreaks>
  <colBreaks count="1" manualBreakCount="1">
    <brk id="14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3366CC"/>
    <pageSetUpPr fitToPage="1"/>
  </sheetPr>
  <dimension ref="A1:Z1912"/>
  <sheetViews>
    <sheetView showGridLines="0" zoomScale="85" zoomScaleNormal="85" workbookViewId="0">
      <pane ySplit="1" topLeftCell="A10" activePane="bottomLeft" state="frozen"/>
      <selection pane="bottomLeft" activeCell="F24" sqref="F24"/>
    </sheetView>
  </sheetViews>
  <sheetFormatPr defaultColWidth="14.42578125" defaultRowHeight="15" customHeight="1" x14ac:dyDescent="0.25"/>
  <cols>
    <col min="1" max="1" width="52.28515625" customWidth="1"/>
    <col min="2" max="2" width="69.28515625" customWidth="1"/>
    <col min="3" max="3" width="2.7109375" customWidth="1"/>
    <col min="4" max="4" width="8" customWidth="1"/>
    <col min="5" max="5" width="2.5703125" customWidth="1"/>
    <col min="6" max="6" width="8" customWidth="1"/>
    <col min="7" max="7" width="2.7109375" customWidth="1"/>
    <col min="8" max="8" width="8" customWidth="1"/>
    <col min="9" max="9" width="13.140625" customWidth="1"/>
    <col min="10" max="17" width="16.140625" style="33" customWidth="1"/>
  </cols>
  <sheetData>
    <row r="1" spans="1:26" ht="93.75" customHeight="1" x14ac:dyDescent="0.5">
      <c r="A1" s="34" t="s">
        <v>37</v>
      </c>
      <c r="B1" s="35" t="s">
        <v>38</v>
      </c>
      <c r="C1" s="186"/>
      <c r="D1" s="186"/>
      <c r="E1" s="186"/>
      <c r="F1" s="186"/>
      <c r="G1" s="186"/>
      <c r="H1" s="186"/>
      <c r="I1" s="36"/>
      <c r="J1" s="37"/>
      <c r="K1" s="37"/>
      <c r="L1" s="37"/>
      <c r="M1" s="37"/>
      <c r="N1" s="37"/>
      <c r="O1" s="37"/>
      <c r="P1" s="37"/>
      <c r="Q1" s="37"/>
      <c r="S1" s="38" t="s">
        <v>39</v>
      </c>
      <c r="T1" s="38">
        <v>1</v>
      </c>
    </row>
    <row r="2" spans="1:26" ht="27.75" customHeight="1" x14ac:dyDescent="0.25">
      <c r="A2" s="39" t="s">
        <v>40</v>
      </c>
      <c r="B2" s="39"/>
      <c r="C2" s="187" t="s">
        <v>41</v>
      </c>
      <c r="D2" s="187"/>
      <c r="E2" s="187"/>
      <c r="F2" s="187"/>
      <c r="G2" s="187"/>
      <c r="H2" s="187"/>
      <c r="I2" s="40" t="s">
        <v>42</v>
      </c>
      <c r="J2" s="41" t="s">
        <v>43</v>
      </c>
      <c r="K2" s="41">
        <v>1000</v>
      </c>
      <c r="L2" s="41">
        <v>2000</v>
      </c>
      <c r="M2" s="41">
        <v>3000</v>
      </c>
      <c r="N2" s="41">
        <v>4000</v>
      </c>
      <c r="O2" s="41">
        <v>5000</v>
      </c>
      <c r="P2" s="41">
        <v>6000</v>
      </c>
      <c r="Q2" s="41">
        <v>7000</v>
      </c>
    </row>
    <row r="3" spans="1:26" ht="15" customHeight="1" x14ac:dyDescent="0.3">
      <c r="A3" s="42"/>
      <c r="B3" s="43" t="s">
        <v>44</v>
      </c>
      <c r="C3" s="44" t="s">
        <v>45</v>
      </c>
      <c r="D3" s="45" t="s">
        <v>46</v>
      </c>
      <c r="E3" s="46" t="s">
        <v>47</v>
      </c>
      <c r="F3" s="47">
        <v>0.99</v>
      </c>
      <c r="G3" s="46" t="s">
        <v>48</v>
      </c>
      <c r="H3" s="47">
        <v>0.87</v>
      </c>
      <c r="I3" s="48">
        <v>8</v>
      </c>
      <c r="J3" s="49">
        <f>ROUND((3210*$T$1),0)*1.05</f>
        <v>3370.5</v>
      </c>
      <c r="K3" s="49">
        <f>ROUND((3258*$T$1),0)*1.05</f>
        <v>3420.9</v>
      </c>
      <c r="L3" s="49">
        <f>ROUND((3304*$T$1),0)*1.05</f>
        <v>3469.2000000000003</v>
      </c>
      <c r="M3" s="49">
        <f>ROUND((3357*$T$1),0)*1.05</f>
        <v>3524.8500000000004</v>
      </c>
      <c r="N3" s="49">
        <f>ROUND((3407*$T$1),0)*1.05</f>
        <v>3577.3500000000004</v>
      </c>
      <c r="O3" s="49">
        <f>ROUND((3440*$T$1),0)*1.05</f>
        <v>3612</v>
      </c>
      <c r="P3" s="49">
        <f>ROUND((3073*$T$1),0)*1.05</f>
        <v>3226.65</v>
      </c>
      <c r="Q3" s="49">
        <f>ROUND((3693*$T$1),0)*1.05</f>
        <v>3877.65</v>
      </c>
      <c r="R3" s="33"/>
      <c r="S3" s="33"/>
      <c r="T3" s="33"/>
      <c r="U3" s="33"/>
      <c r="V3" s="33"/>
      <c r="W3" s="33"/>
      <c r="X3" s="33"/>
      <c r="Y3" s="33"/>
      <c r="Z3" s="33"/>
    </row>
    <row r="4" spans="1:26" ht="15" customHeight="1" x14ac:dyDescent="0.3">
      <c r="A4" s="42"/>
      <c r="B4" s="43" t="s">
        <v>49</v>
      </c>
      <c r="C4" s="44" t="s">
        <v>45</v>
      </c>
      <c r="D4" s="45" t="s">
        <v>50</v>
      </c>
      <c r="E4" s="46" t="s">
        <v>47</v>
      </c>
      <c r="F4" s="47">
        <v>0.99</v>
      </c>
      <c r="G4" s="46" t="s">
        <v>48</v>
      </c>
      <c r="H4" s="47">
        <v>0.87</v>
      </c>
      <c r="I4" s="48">
        <v>7.7</v>
      </c>
      <c r="J4" s="49">
        <f>ROUND((3100*$T$1),0)*1.05</f>
        <v>3255</v>
      </c>
      <c r="K4" s="49">
        <f>ROUND((3153*$T$1),0)*1.05</f>
        <v>3310.65</v>
      </c>
      <c r="L4" s="49">
        <f>ROUND((3206*$T$1),0)*1.05</f>
        <v>3366.3</v>
      </c>
      <c r="M4" s="49">
        <f>ROUND((3259*$T$1),0)*1.05</f>
        <v>3421.9500000000003</v>
      </c>
      <c r="N4" s="49">
        <f>ROUND((3312*$T$1),0)*1.05</f>
        <v>3477.6000000000004</v>
      </c>
      <c r="O4" s="49">
        <f>ROUND((3368*$T$1),0)*1.05</f>
        <v>3536.4</v>
      </c>
      <c r="P4" s="49">
        <f>ROUND((3462*$T$1),0)*1.05</f>
        <v>3635.1000000000004</v>
      </c>
      <c r="Q4" s="49">
        <f>ROUND((3621*$T$1),0)*1.05</f>
        <v>3802.05</v>
      </c>
      <c r="S4" s="33"/>
      <c r="T4" s="33"/>
      <c r="U4" s="33"/>
      <c r="V4" s="33"/>
      <c r="W4" s="33"/>
      <c r="X4" s="33"/>
      <c r="Y4" s="33"/>
      <c r="Z4" s="33"/>
    </row>
    <row r="5" spans="1:26" ht="15" customHeight="1" x14ac:dyDescent="0.3">
      <c r="A5" s="42"/>
      <c r="B5" s="43" t="s">
        <v>51</v>
      </c>
      <c r="C5" s="44" t="s">
        <v>45</v>
      </c>
      <c r="D5" s="45" t="s">
        <v>52</v>
      </c>
      <c r="E5" s="46" t="s">
        <v>47</v>
      </c>
      <c r="F5" s="47">
        <v>0.99</v>
      </c>
      <c r="G5" s="46" t="s">
        <v>48</v>
      </c>
      <c r="H5" s="47">
        <v>0.87</v>
      </c>
      <c r="I5" s="48">
        <v>7.4</v>
      </c>
      <c r="J5" s="49">
        <f>ROUND((3048*$T$1),0)*1.05</f>
        <v>3200.4</v>
      </c>
      <c r="K5" s="49">
        <f>ROUND((3107*$T$1),0)*1.05</f>
        <v>3262.3500000000004</v>
      </c>
      <c r="L5" s="49">
        <f>ROUND((3146*$T$1),0)*1.05</f>
        <v>3303.3</v>
      </c>
      <c r="M5" s="49">
        <f>ROUND((3192*$T$1),0)*1.05</f>
        <v>3351.6000000000004</v>
      </c>
      <c r="N5" s="49">
        <f>ROUND((3237*$T$1),0)*1.05</f>
        <v>3398.8500000000004</v>
      </c>
      <c r="O5" s="49">
        <f>ROUND((3265*$T$1),0)*1.05</f>
        <v>3428.25</v>
      </c>
      <c r="P5" s="49">
        <f>ROUND((3345*$T$1),0)*1.05</f>
        <v>3512.25</v>
      </c>
      <c r="Q5" s="49">
        <f>ROUND((3481*$T$1),0)*1.05</f>
        <v>3655.05</v>
      </c>
      <c r="R5" s="33"/>
      <c r="S5" s="33"/>
      <c r="T5" s="33"/>
      <c r="U5" s="33"/>
      <c r="V5" s="33"/>
      <c r="W5" s="33"/>
      <c r="X5" s="33"/>
      <c r="Y5" s="33"/>
      <c r="Z5" s="33"/>
    </row>
    <row r="6" spans="1:26" ht="15" customHeight="1" x14ac:dyDescent="0.3">
      <c r="A6" s="42"/>
      <c r="B6" s="50" t="s">
        <v>53</v>
      </c>
      <c r="C6" s="44" t="s">
        <v>45</v>
      </c>
      <c r="D6" s="45" t="s">
        <v>54</v>
      </c>
      <c r="E6" s="46" t="s">
        <v>47</v>
      </c>
      <c r="F6" s="47">
        <v>0.99</v>
      </c>
      <c r="G6" s="46" t="s">
        <v>48</v>
      </c>
      <c r="H6" s="47">
        <v>0.87</v>
      </c>
      <c r="I6" s="48">
        <v>7.2</v>
      </c>
      <c r="J6" s="49">
        <f>ROUND((2800*$T$1),0)*1.05</f>
        <v>2940</v>
      </c>
      <c r="K6" s="49">
        <f>ROUND((2853*$T$1),0)*1.05</f>
        <v>2995.65</v>
      </c>
      <c r="L6" s="49">
        <f>ROUND((2906*$T$1),0)*1.05</f>
        <v>3051.3</v>
      </c>
      <c r="M6" s="49">
        <f>ROUND((2959*$T$1),0)*1.05</f>
        <v>3106.9500000000003</v>
      </c>
      <c r="N6" s="49">
        <f>ROUND((3012*$T$1),0)*1.05</f>
        <v>3162.6</v>
      </c>
      <c r="O6" s="49">
        <f>ROUND((3065*$T$1),0)*1.05</f>
        <v>3218.25</v>
      </c>
      <c r="P6" s="49">
        <f>ROUND((3159*$T$1),0)*1.05</f>
        <v>3316.9500000000003</v>
      </c>
      <c r="Q6" s="49">
        <f>ROUND((3319*$T$1),0)*1.05</f>
        <v>3484.9500000000003</v>
      </c>
      <c r="S6" s="33"/>
      <c r="T6" s="33"/>
      <c r="U6" s="33"/>
      <c r="V6" s="33"/>
      <c r="W6" s="33"/>
      <c r="X6" s="33"/>
      <c r="Y6" s="33"/>
      <c r="Z6" s="33"/>
    </row>
    <row r="7" spans="1:26" ht="15" customHeight="1" x14ac:dyDescent="0.3">
      <c r="A7" s="42"/>
      <c r="B7" s="50" t="s">
        <v>55</v>
      </c>
      <c r="C7" s="44" t="s">
        <v>45</v>
      </c>
      <c r="D7" s="45" t="s">
        <v>56</v>
      </c>
      <c r="E7" s="46" t="s">
        <v>47</v>
      </c>
      <c r="F7" s="47">
        <v>0.99</v>
      </c>
      <c r="G7" s="46" t="s">
        <v>48</v>
      </c>
      <c r="H7" s="47">
        <v>0.87</v>
      </c>
      <c r="I7" s="48">
        <v>7</v>
      </c>
      <c r="J7" s="49">
        <f>ROUND((2552*$T$1),0)*1.05</f>
        <v>2679.6</v>
      </c>
      <c r="K7" s="49">
        <f>ROUND((2605*$T$1),0)*1.05</f>
        <v>2735.25</v>
      </c>
      <c r="L7" s="49">
        <f>ROUND((2658*$T$1),0)*1.05</f>
        <v>2790.9</v>
      </c>
      <c r="M7" s="49">
        <f>ROUND((2711*$T$1),0)*1.05</f>
        <v>2846.55</v>
      </c>
      <c r="N7" s="49">
        <f>ROUND((2764*$T$1),0)*1.05</f>
        <v>2902.2000000000003</v>
      </c>
      <c r="O7" s="49">
        <f>ROUND((2817*$T$1),0)*1.05</f>
        <v>2957.85</v>
      </c>
      <c r="P7" s="49">
        <f>ROUND((2912*$T$1),0)*1.05</f>
        <v>3057.6</v>
      </c>
      <c r="Q7" s="49">
        <f>ROUND((3072*$T$1),0)*1.05</f>
        <v>3225.6000000000004</v>
      </c>
      <c r="S7" s="33"/>
      <c r="T7" s="33"/>
      <c r="U7" s="33"/>
      <c r="V7" s="33"/>
      <c r="W7" s="33"/>
      <c r="X7" s="33"/>
      <c r="Y7" s="33"/>
      <c r="Z7" s="33"/>
    </row>
    <row r="8" spans="1:26" ht="15" customHeight="1" x14ac:dyDescent="0.3">
      <c r="A8" s="42"/>
      <c r="B8" s="50"/>
      <c r="C8" s="51"/>
      <c r="D8" s="52"/>
      <c r="E8" s="53"/>
      <c r="F8" s="54"/>
      <c r="G8" s="53"/>
      <c r="H8" s="54"/>
      <c r="I8" s="55"/>
      <c r="J8" s="56"/>
      <c r="K8" s="56"/>
      <c r="L8" s="56"/>
      <c r="M8" s="56"/>
      <c r="N8" s="56"/>
      <c r="O8" s="56"/>
      <c r="P8" s="56"/>
      <c r="Q8" s="56"/>
    </row>
    <row r="9" spans="1:26" ht="15" customHeight="1" x14ac:dyDescent="0.3">
      <c r="A9" s="42"/>
      <c r="B9" s="43" t="s">
        <v>57</v>
      </c>
      <c r="C9" s="44" t="s">
        <v>45</v>
      </c>
      <c r="D9" s="45" t="s">
        <v>58</v>
      </c>
      <c r="E9" s="46" t="s">
        <v>47</v>
      </c>
      <c r="F9" s="47">
        <v>0.99</v>
      </c>
      <c r="G9" s="46" t="s">
        <v>48</v>
      </c>
      <c r="H9" s="47">
        <v>0.87</v>
      </c>
      <c r="I9" s="48">
        <v>7.9</v>
      </c>
      <c r="J9" s="49">
        <f>ROUND((3056*$T$1),0)*1.05</f>
        <v>3208.8</v>
      </c>
      <c r="K9" s="49">
        <f>ROUND((3102*$T$1),0)*1.05</f>
        <v>3257.1000000000004</v>
      </c>
      <c r="L9" s="49">
        <f>ROUND((3146*$T$1),0)*1.05</f>
        <v>3303.3</v>
      </c>
      <c r="M9" s="49">
        <f>ROUND((3196*$T$1),0)*1.05</f>
        <v>3355.8</v>
      </c>
      <c r="N9" s="49">
        <f>ROUND((3245*$T$1),0)*1.05</f>
        <v>3407.25</v>
      </c>
      <c r="O9" s="49">
        <f>ROUND((3276*$T$1),0)*1.05</f>
        <v>3439.8</v>
      </c>
      <c r="P9" s="49">
        <f>ROUND((3366*$T$1),0)*1.05</f>
        <v>3534.3</v>
      </c>
      <c r="Q9" s="49">
        <f>ROUND((3517*$T$1),0)*1.05</f>
        <v>3692.8500000000004</v>
      </c>
      <c r="S9" s="33"/>
      <c r="T9" s="33"/>
      <c r="U9" s="33"/>
      <c r="V9" s="33"/>
      <c r="W9" s="33"/>
      <c r="X9" s="33"/>
      <c r="Y9" s="33"/>
      <c r="Z9" s="33"/>
    </row>
    <row r="10" spans="1:26" ht="15" customHeight="1" x14ac:dyDescent="0.3">
      <c r="A10" s="42"/>
      <c r="B10" s="43" t="s">
        <v>59</v>
      </c>
      <c r="C10" s="44" t="s">
        <v>45</v>
      </c>
      <c r="D10" s="45" t="s">
        <v>60</v>
      </c>
      <c r="E10" s="46" t="s">
        <v>47</v>
      </c>
      <c r="F10" s="47">
        <v>0.99</v>
      </c>
      <c r="G10" s="46" t="s">
        <v>48</v>
      </c>
      <c r="H10" s="47">
        <v>0.87</v>
      </c>
      <c r="I10" s="48">
        <v>7.6</v>
      </c>
      <c r="J10" s="49">
        <f>ROUND((2952*$T$1),0)*1.05</f>
        <v>3099.6</v>
      </c>
      <c r="K10" s="49">
        <f>ROUND((3003*$T$1),0)*1.05</f>
        <v>3153.15</v>
      </c>
      <c r="L10" s="49">
        <f>ROUND((3053*$T$1),0)*1.05</f>
        <v>3205.65</v>
      </c>
      <c r="M10" s="49">
        <f>ROUND((3104*$T$1),0)*1.05</f>
        <v>3259.2000000000003</v>
      </c>
      <c r="N10" s="49">
        <f>ROUND((3154*$T$1),0)*1.05</f>
        <v>3311.7000000000003</v>
      </c>
      <c r="O10" s="49">
        <f>ROUND((3208*$T$1),0)*1.05</f>
        <v>3368.4</v>
      </c>
      <c r="P10" s="49">
        <f>ROUND((3297*$T$1),0)*1.05</f>
        <v>3461.8500000000004</v>
      </c>
      <c r="Q10" s="49">
        <f>ROUND((3449*$T$1),0)*1.05</f>
        <v>3621.4500000000003</v>
      </c>
      <c r="S10" s="33"/>
      <c r="T10" s="33"/>
      <c r="U10" s="33"/>
      <c r="V10" s="33"/>
      <c r="W10" s="33"/>
      <c r="X10" s="33"/>
      <c r="Y10" s="33"/>
      <c r="Z10" s="33"/>
    </row>
    <row r="11" spans="1:26" ht="15" customHeight="1" x14ac:dyDescent="0.3">
      <c r="A11" s="42"/>
      <c r="B11" s="43" t="s">
        <v>61</v>
      </c>
      <c r="C11" s="44" t="s">
        <v>45</v>
      </c>
      <c r="D11" s="45" t="s">
        <v>62</v>
      </c>
      <c r="E11" s="46" t="s">
        <v>47</v>
      </c>
      <c r="F11" s="47">
        <v>0.99</v>
      </c>
      <c r="G11" s="46" t="s">
        <v>48</v>
      </c>
      <c r="H11" s="47">
        <v>0.87</v>
      </c>
      <c r="I11" s="48">
        <v>7.3</v>
      </c>
      <c r="J11" s="49">
        <f>ROUND((2903*$T$1),0)*1.05</f>
        <v>3048.15</v>
      </c>
      <c r="K11" s="49">
        <f>ROUND((2959*$T$1),0)*1.05</f>
        <v>3106.9500000000003</v>
      </c>
      <c r="L11" s="49">
        <f>ROUND((2996*$T$1),0)*1.05</f>
        <v>3145.8</v>
      </c>
      <c r="M11" s="49">
        <f>ROUND((3040*$T$1),0)*1.05</f>
        <v>3192</v>
      </c>
      <c r="N11" s="49">
        <f>ROUND((3083*$T$1),0)*1.05</f>
        <v>3237.15</v>
      </c>
      <c r="O11" s="49">
        <f>ROUND((3110*$T$1),0)*1.05</f>
        <v>3265.5</v>
      </c>
      <c r="P11" s="49">
        <f>ROUND((3210*$T$1),0)*1.05</f>
        <v>3370.5</v>
      </c>
      <c r="Q11" s="49">
        <f>ROUND((3315*$T$1),0)*1.05</f>
        <v>3480.75</v>
      </c>
      <c r="S11" s="33"/>
      <c r="T11" s="33"/>
      <c r="U11" s="33"/>
      <c r="V11" s="33"/>
      <c r="W11" s="33"/>
      <c r="X11" s="33"/>
      <c r="Y11" s="33"/>
      <c r="Z11" s="33"/>
    </row>
    <row r="12" spans="1:26" ht="15" customHeight="1" x14ac:dyDescent="0.3">
      <c r="A12" s="42"/>
      <c r="B12" s="43" t="s">
        <v>63</v>
      </c>
      <c r="C12" s="44" t="s">
        <v>45</v>
      </c>
      <c r="D12" s="45" t="s">
        <v>64</v>
      </c>
      <c r="E12" s="46" t="s">
        <v>47</v>
      </c>
      <c r="F12" s="47">
        <v>0.99</v>
      </c>
      <c r="G12" s="46" t="s">
        <v>48</v>
      </c>
      <c r="H12" s="47">
        <v>0.87</v>
      </c>
      <c r="I12" s="48">
        <v>7.1</v>
      </c>
      <c r="J12" s="49">
        <f>ROUND((2667*$T$1),0)*1.05</f>
        <v>2800.35</v>
      </c>
      <c r="K12" s="49">
        <f>ROUND((2717*$T$1),0)*1.05</f>
        <v>2852.85</v>
      </c>
      <c r="L12" s="49">
        <f>ROUND((2768*$T$1),0)*1.05</f>
        <v>2906.4</v>
      </c>
      <c r="M12" s="49">
        <f>ROUND((2818*$T$1),0)*1.05</f>
        <v>2958.9</v>
      </c>
      <c r="N12" s="49">
        <f>ROUND((2869*$T$1),0)*1.05</f>
        <v>3012.4500000000003</v>
      </c>
      <c r="O12" s="49">
        <f>ROUND((2919*$T$1),0)*1.05</f>
        <v>3064.9500000000003</v>
      </c>
      <c r="P12" s="49">
        <f>ROUND((3009*$T$1),0)*1.05</f>
        <v>3159.4500000000003</v>
      </c>
      <c r="Q12" s="49">
        <f>ROUND((3161*$T$1),0)*1.05</f>
        <v>3319.05</v>
      </c>
      <c r="S12" s="33"/>
      <c r="T12" s="33"/>
      <c r="U12" s="33"/>
      <c r="V12" s="33"/>
      <c r="W12" s="33"/>
      <c r="X12" s="33"/>
      <c r="Y12" s="33"/>
      <c r="Z12" s="33"/>
    </row>
    <row r="13" spans="1:26" ht="15" customHeight="1" x14ac:dyDescent="0.3">
      <c r="A13" s="42"/>
      <c r="B13" s="43" t="s">
        <v>65</v>
      </c>
      <c r="C13" s="44" t="s">
        <v>45</v>
      </c>
      <c r="D13" s="45" t="s">
        <v>66</v>
      </c>
      <c r="E13" s="46" t="s">
        <v>47</v>
      </c>
      <c r="F13" s="47">
        <v>0.99</v>
      </c>
      <c r="G13" s="46" t="s">
        <v>48</v>
      </c>
      <c r="H13" s="47">
        <v>0.87</v>
      </c>
      <c r="I13" s="48">
        <v>6.9</v>
      </c>
      <c r="J13" s="49">
        <f>ROUND((2430*$T$1),0)*1.05</f>
        <v>2551.5</v>
      </c>
      <c r="K13" s="49">
        <f>ROUND((2481*$T$1),0)*1.05</f>
        <v>2605.0500000000002</v>
      </c>
      <c r="L13" s="49">
        <f>ROUND((2531*$T$1),0)*1.05</f>
        <v>2657.55</v>
      </c>
      <c r="M13" s="49">
        <f>ROUND((2582*$T$1),0)*1.05</f>
        <v>2711.1</v>
      </c>
      <c r="N13" s="49">
        <f>ROUND((2632*$T$1),0)*1.05</f>
        <v>2763.6</v>
      </c>
      <c r="O13" s="49">
        <f>ROUND((2683*$T$1),0)*1.05</f>
        <v>2817.15</v>
      </c>
      <c r="P13" s="49">
        <f>ROUND((2773*$T$1),0)*1.05</f>
        <v>2911.65</v>
      </c>
      <c r="Q13" s="49">
        <f>ROUND((2926*$T$1),0)*1.05</f>
        <v>3072.3</v>
      </c>
      <c r="S13" s="33"/>
      <c r="T13" s="33"/>
      <c r="U13" s="33"/>
      <c r="V13" s="33"/>
      <c r="W13" s="33"/>
      <c r="X13" s="33"/>
      <c r="Y13" s="33"/>
      <c r="Z13" s="33"/>
    </row>
    <row r="14" spans="1:26" ht="15" customHeight="1" x14ac:dyDescent="0.3">
      <c r="A14" s="42"/>
      <c r="B14" s="50"/>
      <c r="C14" s="51"/>
      <c r="D14" s="52"/>
      <c r="E14" s="53"/>
      <c r="F14" s="54"/>
      <c r="G14" s="53"/>
      <c r="H14" s="54"/>
      <c r="I14" s="55"/>
      <c r="J14" s="56"/>
      <c r="K14" s="56"/>
      <c r="L14" s="56"/>
      <c r="M14" s="56"/>
      <c r="N14" s="56"/>
      <c r="O14" s="56"/>
      <c r="P14" s="56"/>
      <c r="Q14" s="56"/>
    </row>
    <row r="15" spans="1:26" ht="15" customHeight="1" x14ac:dyDescent="0.3">
      <c r="A15" s="42"/>
      <c r="B15" s="43" t="s">
        <v>67</v>
      </c>
      <c r="C15" s="44" t="s">
        <v>45</v>
      </c>
      <c r="D15" s="45" t="s">
        <v>68</v>
      </c>
      <c r="E15" s="46" t="s">
        <v>47</v>
      </c>
      <c r="F15" s="47">
        <v>0.99</v>
      </c>
      <c r="G15" s="46" t="s">
        <v>48</v>
      </c>
      <c r="H15" s="47">
        <v>0.87</v>
      </c>
      <c r="I15" s="48">
        <v>14.4</v>
      </c>
      <c r="J15" s="49">
        <f>ROUND((5600*$T$1),0)*1.05</f>
        <v>5880</v>
      </c>
      <c r="K15" s="49">
        <f>ROUND((5706*$T$1),0)*1.05</f>
        <v>5991.3</v>
      </c>
      <c r="L15" s="49">
        <f>ROUND((5812*$T$1),0)*1.05</f>
        <v>6102.6</v>
      </c>
      <c r="M15" s="49">
        <f>ROUND((5918*$T$1),0)*1.05</f>
        <v>6213.9000000000005</v>
      </c>
      <c r="N15" s="49">
        <f>ROUND((6024*$T$1),0)*1.05</f>
        <v>6325.2</v>
      </c>
      <c r="O15" s="49">
        <f>ROUND((6130*$T$1),0)*1.05</f>
        <v>6436.5</v>
      </c>
      <c r="P15" s="49">
        <f>ROUND((6318*$T$1),0)*1.05</f>
        <v>6633.9000000000005</v>
      </c>
      <c r="Q15" s="49">
        <f>ROUND((6638*$T$1),0)*1.05</f>
        <v>6969.9000000000005</v>
      </c>
      <c r="S15" s="33"/>
      <c r="T15" s="33"/>
      <c r="U15" s="33"/>
      <c r="V15" s="33"/>
      <c r="W15" s="33"/>
      <c r="X15" s="33"/>
      <c r="Y15" s="33"/>
      <c r="Z15" s="33"/>
    </row>
    <row r="16" spans="1:26" ht="15" customHeight="1" x14ac:dyDescent="0.3">
      <c r="A16" s="42"/>
      <c r="B16" s="43" t="s">
        <v>67</v>
      </c>
      <c r="C16" s="44" t="s">
        <v>45</v>
      </c>
      <c r="D16" s="45" t="s">
        <v>69</v>
      </c>
      <c r="E16" s="46" t="s">
        <v>47</v>
      </c>
      <c r="F16" s="47">
        <v>0.99</v>
      </c>
      <c r="G16" s="46" t="s">
        <v>48</v>
      </c>
      <c r="H16" s="47">
        <v>0.87</v>
      </c>
      <c r="I16" s="48">
        <v>14</v>
      </c>
      <c r="J16" s="49">
        <f>ROUND((5104*$T$1),0)*1.05</f>
        <v>5359.2</v>
      </c>
      <c r="K16" s="49">
        <f>ROUND((5210*$T$1),0)*1.05</f>
        <v>5470.5</v>
      </c>
      <c r="L16" s="49">
        <f>ROUND((5316*$T$1),0)*1.05</f>
        <v>5581.8</v>
      </c>
      <c r="M16" s="49">
        <f>ROUND((5422*$T$1),0)*1.05</f>
        <v>5693.1</v>
      </c>
      <c r="N16" s="49">
        <f>ROUND((5528*$T$1),0)*1.05</f>
        <v>5804.4000000000005</v>
      </c>
      <c r="O16" s="49">
        <f>ROUND((5634*$T$1),0)*1.05</f>
        <v>5915.7</v>
      </c>
      <c r="P16" s="49">
        <f>ROUND((5824*$T$1),0)*1.05</f>
        <v>6115.2</v>
      </c>
      <c r="Q16" s="49">
        <f>ROUND((6144*$T$1),0)*1.05</f>
        <v>6451.2000000000007</v>
      </c>
      <c r="S16" s="33"/>
      <c r="T16" s="33"/>
      <c r="U16" s="33"/>
      <c r="V16" s="33"/>
      <c r="W16" s="33"/>
      <c r="X16" s="33"/>
      <c r="Y16" s="33"/>
      <c r="Z16" s="33"/>
    </row>
    <row r="17" spans="1:26" ht="15" customHeight="1" x14ac:dyDescent="0.3">
      <c r="A17" s="42"/>
      <c r="B17" s="43" t="s">
        <v>67</v>
      </c>
      <c r="C17" s="44" t="s">
        <v>45</v>
      </c>
      <c r="D17" s="45" t="s">
        <v>70</v>
      </c>
      <c r="E17" s="46" t="s">
        <v>47</v>
      </c>
      <c r="F17" s="47">
        <v>0.99</v>
      </c>
      <c r="G17" s="46" t="s">
        <v>48</v>
      </c>
      <c r="H17" s="47">
        <v>0.87</v>
      </c>
      <c r="I17" s="48">
        <v>13.6</v>
      </c>
      <c r="J17" s="49">
        <f>ROUND((4860*$T$1),0)*1.05</f>
        <v>5103</v>
      </c>
      <c r="K17" s="49">
        <f>ROUND((4962*$T$1),0)*1.05</f>
        <v>5210.1000000000004</v>
      </c>
      <c r="L17" s="49">
        <f>ROUND((5062*$T$1),0)*1.05</f>
        <v>5315.1</v>
      </c>
      <c r="M17" s="49">
        <f>ROUND((5164*$T$1),0)*1.05</f>
        <v>5422.2</v>
      </c>
      <c r="N17" s="49">
        <f>ROUND((5264*$T$1),0)*1.05</f>
        <v>5527.2</v>
      </c>
      <c r="O17" s="49">
        <f>ROUND((5366*$T$1),0)*1.05</f>
        <v>5634.3</v>
      </c>
      <c r="P17" s="49">
        <f>ROUND((5546*$T$1),0)*1.05</f>
        <v>5823.3</v>
      </c>
      <c r="Q17" s="49">
        <f>ROUND((5852*$T$1),0)*1.05</f>
        <v>6144.6</v>
      </c>
      <c r="S17" s="33"/>
      <c r="T17" s="33"/>
      <c r="U17" s="33"/>
      <c r="V17" s="33"/>
      <c r="W17" s="33"/>
      <c r="X17" s="33"/>
      <c r="Y17" s="33"/>
      <c r="Z17" s="33"/>
    </row>
    <row r="18" spans="1:26" ht="15" customHeight="1" x14ac:dyDescent="0.3">
      <c r="A18" s="42"/>
      <c r="B18" s="50"/>
      <c r="C18" s="51"/>
      <c r="D18" s="52"/>
      <c r="E18" s="53"/>
      <c r="F18" s="54"/>
      <c r="G18" s="53"/>
      <c r="H18" s="54"/>
      <c r="I18" s="55"/>
      <c r="J18" s="56"/>
      <c r="K18" s="56"/>
      <c r="L18" s="56"/>
      <c r="M18" s="56"/>
      <c r="N18" s="56"/>
      <c r="O18" s="56"/>
      <c r="P18" s="56"/>
      <c r="Q18" s="56"/>
    </row>
    <row r="19" spans="1:26" ht="15" customHeight="1" x14ac:dyDescent="0.3">
      <c r="A19" s="42"/>
      <c r="B19" s="50" t="s">
        <v>71</v>
      </c>
      <c r="C19" s="44" t="s">
        <v>45</v>
      </c>
      <c r="D19" s="45" t="s">
        <v>46</v>
      </c>
      <c r="E19" s="46" t="s">
        <v>47</v>
      </c>
      <c r="F19" s="47">
        <v>1.39</v>
      </c>
      <c r="G19" s="46" t="s">
        <v>48</v>
      </c>
      <c r="H19" s="47">
        <v>0.87</v>
      </c>
      <c r="I19" s="48">
        <v>11.6</v>
      </c>
      <c r="J19" s="49">
        <f>ROUND((3530*$T$1),0)*1.05</f>
        <v>3706.5</v>
      </c>
      <c r="K19" s="49">
        <f>ROUND((3583*$T$1),0)*1.05</f>
        <v>3762.15</v>
      </c>
      <c r="L19" s="49">
        <f>ROUND((3633*$T$1),0)*1.05</f>
        <v>3814.65</v>
      </c>
      <c r="M19" s="49">
        <f>ROUND((3692*$T$1),0)*1.05</f>
        <v>3876.6000000000004</v>
      </c>
      <c r="N19" s="49">
        <f>ROUND((3748*$T$1),0)*1.05</f>
        <v>3935.4</v>
      </c>
      <c r="O19" s="49">
        <f>ROUND((3784*$T$1),0)*1.05</f>
        <v>3973.2000000000003</v>
      </c>
      <c r="P19" s="49">
        <f>ROUND((3887*$T$1),0)*1.05</f>
        <v>4081.3500000000004</v>
      </c>
      <c r="Q19" s="49">
        <f>ROUND((4062*$T$1),0)*1.05</f>
        <v>4265.1000000000004</v>
      </c>
      <c r="S19" s="33"/>
      <c r="T19" s="33"/>
      <c r="U19" s="33"/>
      <c r="V19" s="33"/>
      <c r="W19" s="33"/>
      <c r="X19" s="33"/>
      <c r="Y19" s="33"/>
      <c r="Z19" s="33"/>
    </row>
    <row r="20" spans="1:26" ht="15" customHeight="1" x14ac:dyDescent="0.3">
      <c r="A20" s="42"/>
      <c r="B20" s="50" t="s">
        <v>72</v>
      </c>
      <c r="C20" s="44" t="s">
        <v>45</v>
      </c>
      <c r="D20" s="45" t="s">
        <v>50</v>
      </c>
      <c r="E20" s="46" t="s">
        <v>47</v>
      </c>
      <c r="F20" s="47">
        <v>1.39</v>
      </c>
      <c r="G20" s="46" t="s">
        <v>48</v>
      </c>
      <c r="H20" s="47">
        <v>0.87</v>
      </c>
      <c r="I20" s="48">
        <v>11.164999999999999</v>
      </c>
      <c r="J20" s="49">
        <f>ROUND((3410*$T$1),0)*1.05</f>
        <v>3580.5</v>
      </c>
      <c r="K20" s="49">
        <f>ROUND((3468*$T$1),0)*1.05</f>
        <v>3641.4</v>
      </c>
      <c r="L20" s="49">
        <f>ROUND((3527*$T$1),0)*1.05</f>
        <v>3703.3500000000004</v>
      </c>
      <c r="M20" s="49">
        <f>ROUND((3585*$T$1),0)*1.05</f>
        <v>3764.25</v>
      </c>
      <c r="N20" s="49">
        <f>ROUND((3643*$T$1),0)*1.05</f>
        <v>3825.15</v>
      </c>
      <c r="O20" s="49">
        <f>ROUND((3705*$T$1),0)*1.05</f>
        <v>3890.25</v>
      </c>
      <c r="P20" s="49">
        <f>ROUND((3808*$T$1),0)*1.05</f>
        <v>3998.4</v>
      </c>
      <c r="Q20" s="49">
        <f>ROUND((3983*$T$1),0)*1.05</f>
        <v>4182.1500000000005</v>
      </c>
      <c r="S20" s="33"/>
      <c r="T20" s="33"/>
      <c r="U20" s="33"/>
      <c r="V20" s="33"/>
      <c r="W20" s="33"/>
      <c r="X20" s="33"/>
      <c r="Y20" s="33"/>
      <c r="Z20" s="33"/>
    </row>
    <row r="21" spans="1:26" ht="15" customHeight="1" x14ac:dyDescent="0.3">
      <c r="A21" s="42"/>
      <c r="B21" s="50" t="s">
        <v>73</v>
      </c>
      <c r="C21" s="44" t="s">
        <v>45</v>
      </c>
      <c r="D21" s="45" t="s">
        <v>52</v>
      </c>
      <c r="E21" s="46" t="s">
        <v>47</v>
      </c>
      <c r="F21" s="47">
        <v>1.39</v>
      </c>
      <c r="G21" s="46" t="s">
        <v>48</v>
      </c>
      <c r="H21" s="47">
        <v>0.87</v>
      </c>
      <c r="I21" s="48">
        <v>10.73</v>
      </c>
      <c r="J21" s="49">
        <f>ROUND((3353*$T$1),0)*1.05</f>
        <v>3520.65</v>
      </c>
      <c r="K21" s="49">
        <f>ROUND((3418*$T$1),0)*1.05</f>
        <v>3588.9</v>
      </c>
      <c r="L21" s="49">
        <f>ROUND((3461*$T$1),0)*1.05</f>
        <v>3634.05</v>
      </c>
      <c r="M21" s="49">
        <f>ROUND((3511*$T$1),0)*1.05</f>
        <v>3686.55</v>
      </c>
      <c r="N21" s="49">
        <f>ROUND((3561*$T$1),0)*1.05</f>
        <v>3739.05</v>
      </c>
      <c r="O21" s="49">
        <f>ROUND((3592*$T$1),0)*1.05</f>
        <v>3771.6000000000004</v>
      </c>
      <c r="P21" s="49">
        <f>ROUND((3680*$T$1),0)*1.05</f>
        <v>3864</v>
      </c>
      <c r="Q21" s="49">
        <f>ROUND((3829*$T$1),0)*1.05</f>
        <v>4020.4500000000003</v>
      </c>
      <c r="S21" s="33"/>
      <c r="T21" s="33"/>
      <c r="U21" s="33"/>
      <c r="V21" s="33"/>
      <c r="W21" s="33"/>
      <c r="X21" s="33"/>
      <c r="Y21" s="33"/>
      <c r="Z21" s="33"/>
    </row>
    <row r="22" spans="1:26" ht="15" customHeight="1" x14ac:dyDescent="0.3">
      <c r="A22" s="42"/>
      <c r="B22" s="50" t="s">
        <v>74</v>
      </c>
      <c r="C22" s="44" t="s">
        <v>45</v>
      </c>
      <c r="D22" s="45" t="s">
        <v>54</v>
      </c>
      <c r="E22" s="46" t="s">
        <v>47</v>
      </c>
      <c r="F22" s="47">
        <v>1.39</v>
      </c>
      <c r="G22" s="46" t="s">
        <v>48</v>
      </c>
      <c r="H22" s="47">
        <v>0.87</v>
      </c>
      <c r="I22" s="48">
        <v>10.44</v>
      </c>
      <c r="J22" s="49">
        <f>ROUND((3080*$T$1),0)*1.05</f>
        <v>3234</v>
      </c>
      <c r="K22" s="49">
        <f>ROUND((3138*$T$1),0)*1.05</f>
        <v>3294.9</v>
      </c>
      <c r="L22" s="49">
        <f>ROUND((3197*$T$1),0)*1.05</f>
        <v>3356.8500000000004</v>
      </c>
      <c r="M22" s="49">
        <f>ROUND((3255*$T$1),0)*1.05</f>
        <v>3417.75</v>
      </c>
      <c r="N22" s="49">
        <f>ROUND((3313*$T$1),0)*1.05</f>
        <v>3478.65</v>
      </c>
      <c r="O22" s="49">
        <f>ROUND((3372*$T$1),0)*1.05</f>
        <v>3540.6000000000004</v>
      </c>
      <c r="P22" s="49">
        <f>ROUND((3475*$T$1),0)*1.05</f>
        <v>3648.75</v>
      </c>
      <c r="Q22" s="49">
        <f>ROUND((3631*$T$1),0)*1.05</f>
        <v>3812.55</v>
      </c>
      <c r="S22" s="33"/>
      <c r="T22" s="33"/>
      <c r="U22" s="33"/>
      <c r="V22" s="33"/>
      <c r="W22" s="33"/>
      <c r="X22" s="33"/>
      <c r="Y22" s="33"/>
      <c r="Z22" s="33"/>
    </row>
    <row r="23" spans="1:26" ht="15" customHeight="1" x14ac:dyDescent="0.3">
      <c r="A23" s="42"/>
      <c r="B23" s="50" t="s">
        <v>75</v>
      </c>
      <c r="C23" s="44" t="s">
        <v>45</v>
      </c>
      <c r="D23" s="45" t="s">
        <v>56</v>
      </c>
      <c r="E23" s="46" t="s">
        <v>47</v>
      </c>
      <c r="F23" s="47">
        <v>1.39</v>
      </c>
      <c r="G23" s="46" t="s">
        <v>48</v>
      </c>
      <c r="H23" s="47">
        <v>0.87</v>
      </c>
      <c r="I23" s="48">
        <v>10.15</v>
      </c>
      <c r="J23" s="49">
        <f>ROUND((2807*$T$1),0)*1.05</f>
        <v>2947.35</v>
      </c>
      <c r="K23" s="49">
        <f>ROUND((2866*$T$1),0)*1.05</f>
        <v>3009.3</v>
      </c>
      <c r="L23" s="49">
        <f>ROUND((2924*$T$1),0)*1.05</f>
        <v>3070.2000000000003</v>
      </c>
      <c r="M23" s="49">
        <f>ROUND((2982*$T$1),0)*1.05</f>
        <v>3131.1</v>
      </c>
      <c r="N23" s="49">
        <f>ROUND((3040*$T$1),0)*1.05</f>
        <v>3192</v>
      </c>
      <c r="O23" s="49">
        <f>ROUND((3099*$T$1),0)*1.05</f>
        <v>3253.9500000000003</v>
      </c>
      <c r="P23" s="49">
        <f>ROUND((3203*$T$1),0)*1.05</f>
        <v>3363.15</v>
      </c>
      <c r="Q23" s="49">
        <f>ROUND((3379*$T$1),0)*1.05</f>
        <v>3547.9500000000003</v>
      </c>
      <c r="S23" s="33"/>
      <c r="T23" s="33"/>
      <c r="U23" s="33"/>
      <c r="V23" s="33"/>
      <c r="W23" s="33"/>
      <c r="X23" s="33"/>
      <c r="Y23" s="33"/>
      <c r="Z23" s="33"/>
    </row>
    <row r="24" spans="1:26" ht="15" customHeight="1" x14ac:dyDescent="0.3">
      <c r="A24" s="42"/>
      <c r="B24" s="50"/>
      <c r="C24" s="51"/>
      <c r="D24" s="52"/>
      <c r="E24" s="53"/>
      <c r="F24" s="54"/>
      <c r="G24" s="53"/>
      <c r="H24" s="54"/>
      <c r="I24" s="55"/>
      <c r="J24" s="56"/>
      <c r="K24" s="56"/>
      <c r="L24" s="56"/>
      <c r="M24" s="56"/>
      <c r="N24" s="56"/>
      <c r="O24" s="56"/>
      <c r="P24" s="56"/>
      <c r="Q24" s="56"/>
    </row>
    <row r="25" spans="1:26" ht="15" customHeight="1" x14ac:dyDescent="0.3">
      <c r="A25" s="42"/>
      <c r="B25" s="50" t="s">
        <v>76</v>
      </c>
      <c r="C25" s="44" t="s">
        <v>45</v>
      </c>
      <c r="D25" s="45" t="s">
        <v>77</v>
      </c>
      <c r="E25" s="46" t="s">
        <v>47</v>
      </c>
      <c r="F25" s="47">
        <v>0.99</v>
      </c>
      <c r="G25" s="46" t="s">
        <v>48</v>
      </c>
      <c r="H25" s="47">
        <v>0.87</v>
      </c>
      <c r="I25" s="48">
        <v>7.3</v>
      </c>
      <c r="J25" s="49">
        <f>ROUND((3381*$T$1),0)*1.05</f>
        <v>3550.05</v>
      </c>
      <c r="K25" s="49">
        <f>ROUND((3440*$T$1),0)*1.05</f>
        <v>3612</v>
      </c>
      <c r="L25" s="49">
        <f>ROUND((3480*$T$1),0)*1.05</f>
        <v>3654</v>
      </c>
      <c r="M25" s="49">
        <f>ROUND((3527*$T$1),0)*1.05</f>
        <v>3703.3500000000004</v>
      </c>
      <c r="N25" s="49">
        <f>ROUND((3573*$T$1),0)*1.05</f>
        <v>3751.65</v>
      </c>
      <c r="O25" s="49">
        <f>ROUND((3602*$T$1),0)*1.05</f>
        <v>3782.1000000000004</v>
      </c>
      <c r="P25" s="49">
        <f>ROUND((3686*$T$1),0)*1.05</f>
        <v>3870.3</v>
      </c>
      <c r="Q25" s="49">
        <f>ROUND((3825*$T$1),0)*1.05</f>
        <v>4016.25</v>
      </c>
      <c r="R25" s="33"/>
      <c r="S25" s="33"/>
      <c r="T25" s="33"/>
      <c r="U25" s="33"/>
      <c r="V25" s="33"/>
      <c r="W25" s="33"/>
      <c r="X25" s="33"/>
      <c r="Y25" s="33"/>
      <c r="Z25" s="33"/>
    </row>
    <row r="26" spans="1:26" ht="15" customHeight="1" x14ac:dyDescent="0.3">
      <c r="A26" s="42"/>
      <c r="B26" s="50" t="s">
        <v>78</v>
      </c>
      <c r="C26" s="44" t="s">
        <v>45</v>
      </c>
      <c r="D26" s="45" t="s">
        <v>79</v>
      </c>
      <c r="E26" s="46" t="s">
        <v>47</v>
      </c>
      <c r="F26" s="47">
        <v>0.99</v>
      </c>
      <c r="G26" s="46" t="s">
        <v>48</v>
      </c>
      <c r="H26" s="47">
        <v>0.87</v>
      </c>
      <c r="I26" s="48">
        <v>7.1</v>
      </c>
      <c r="J26" s="49">
        <f>ROUND((3330*$T$1),0)*1.05</f>
        <v>3496.5</v>
      </c>
      <c r="K26" s="49">
        <f>ROUND((3347*$T$1),0)*1.05</f>
        <v>3514.3500000000004</v>
      </c>
      <c r="L26" s="49">
        <f>ROUND((3393*$T$1),0)*1.05</f>
        <v>3562.65</v>
      </c>
      <c r="M26" s="49">
        <f>ROUND((3422*$T$1),0)*1.05</f>
        <v>3593.1000000000004</v>
      </c>
      <c r="N26" s="49">
        <f>ROUND((3451*$T$1),0)*1.05</f>
        <v>3623.55</v>
      </c>
      <c r="O26" s="49">
        <f>ROUND((3497*$T$1),0)*1.05</f>
        <v>3671.8500000000004</v>
      </c>
      <c r="P26" s="49">
        <f>ROUND((3581*$T$1),0)*1.05</f>
        <v>3760.05</v>
      </c>
      <c r="Q26" s="49">
        <f>ROUND((3720*$T$1),0)*1.05</f>
        <v>3906</v>
      </c>
      <c r="S26" s="33"/>
      <c r="T26" s="33"/>
      <c r="U26" s="33"/>
      <c r="V26" s="33"/>
      <c r="W26" s="33"/>
      <c r="X26" s="33"/>
      <c r="Y26" s="33"/>
      <c r="Z26" s="33"/>
    </row>
    <row r="27" spans="1:26" ht="15" customHeight="1" x14ac:dyDescent="0.3">
      <c r="A27" s="42"/>
      <c r="B27" s="50" t="s">
        <v>80</v>
      </c>
      <c r="C27" s="44" t="s">
        <v>45</v>
      </c>
      <c r="D27" s="45" t="s">
        <v>81</v>
      </c>
      <c r="E27" s="46" t="s">
        <v>47</v>
      </c>
      <c r="F27" s="47">
        <v>0.99</v>
      </c>
      <c r="G27" s="46" t="s">
        <v>48</v>
      </c>
      <c r="H27" s="47">
        <v>0.87</v>
      </c>
      <c r="I27" s="48">
        <v>6.9</v>
      </c>
      <c r="J27" s="49">
        <f>ROUND((3250*$T$1),0)*1.05</f>
        <v>3412.5</v>
      </c>
      <c r="K27" s="49">
        <f>ROUND((3297*$T$1),0)*1.05</f>
        <v>3461.8500000000004</v>
      </c>
      <c r="L27" s="49">
        <f>ROUND((3344*$T$1),0)*1.05</f>
        <v>3511.2000000000003</v>
      </c>
      <c r="M27" s="49">
        <f>ROUND((3391*$T$1),0)*1.05</f>
        <v>3560.55</v>
      </c>
      <c r="N27" s="49">
        <f>ROUND((3420*$T$1),0)*1.05</f>
        <v>3591</v>
      </c>
      <c r="O27" s="49">
        <f>ROUND((3466*$T$1),0)*1.05</f>
        <v>3639.3</v>
      </c>
      <c r="P27" s="49">
        <f>ROUND((3550*$T$1),0)*1.05</f>
        <v>3727.5</v>
      </c>
      <c r="Q27" s="49">
        <f>ROUND((3689*$T$1),0)*1.05</f>
        <v>3873.4500000000003</v>
      </c>
      <c r="S27" s="33"/>
      <c r="T27" s="33"/>
      <c r="U27" s="33"/>
      <c r="V27" s="33"/>
      <c r="W27" s="33"/>
      <c r="X27" s="33"/>
      <c r="Y27" s="33"/>
      <c r="Z27" s="33"/>
    </row>
    <row r="28" spans="1:26" ht="15" customHeight="1" x14ac:dyDescent="0.3">
      <c r="A28" s="42"/>
      <c r="B28" s="50" t="s">
        <v>82</v>
      </c>
      <c r="C28" s="44" t="s">
        <v>45</v>
      </c>
      <c r="D28" s="45" t="s">
        <v>83</v>
      </c>
      <c r="E28" s="46" t="s">
        <v>47</v>
      </c>
      <c r="F28" s="47">
        <v>0.99</v>
      </c>
      <c r="G28" s="46" t="s">
        <v>48</v>
      </c>
      <c r="H28" s="47">
        <v>0.87</v>
      </c>
      <c r="I28" s="48">
        <v>6.7</v>
      </c>
      <c r="J28" s="49">
        <f>ROUND((3151*$T$1),0)*1.05</f>
        <v>3308.55</v>
      </c>
      <c r="K28" s="49">
        <f>ROUND((3221*$T$1),0)*1.05</f>
        <v>3382.05</v>
      </c>
      <c r="L28" s="49">
        <f>ROUND((3256*$T$1),0)*1.05</f>
        <v>3418.8</v>
      </c>
      <c r="M28" s="49">
        <f>ROUND((3294*$T$1),0)*1.05</f>
        <v>3458.7000000000003</v>
      </c>
      <c r="N28" s="49">
        <f>ROUND((3333*$T$1),0)*1.05</f>
        <v>3499.65</v>
      </c>
      <c r="O28" s="49">
        <f>ROUND((3357*$T$1),0)*1.05</f>
        <v>3524.8500000000004</v>
      </c>
      <c r="P28" s="49">
        <f>ROUND((3427*$T$1),0)*1.05</f>
        <v>3598.3500000000004</v>
      </c>
      <c r="Q28" s="49">
        <f>ROUND((3544*$T$1),0)*1.05</f>
        <v>3721.2000000000003</v>
      </c>
      <c r="S28" s="33"/>
      <c r="T28" s="33"/>
      <c r="U28" s="33"/>
      <c r="V28" s="33"/>
      <c r="W28" s="33"/>
      <c r="X28" s="33"/>
      <c r="Y28" s="33"/>
      <c r="Z28" s="33"/>
    </row>
    <row r="29" spans="1:26" ht="15" customHeight="1" x14ac:dyDescent="0.3">
      <c r="A29" s="42"/>
      <c r="B29" s="50" t="s">
        <v>84</v>
      </c>
      <c r="C29" s="44" t="s">
        <v>45</v>
      </c>
      <c r="D29" s="45" t="s">
        <v>58</v>
      </c>
      <c r="E29" s="46" t="s">
        <v>47</v>
      </c>
      <c r="F29" s="47">
        <v>0.99</v>
      </c>
      <c r="G29" s="46" t="s">
        <v>48</v>
      </c>
      <c r="H29" s="47">
        <v>0.87</v>
      </c>
      <c r="I29" s="48">
        <v>6.5</v>
      </c>
      <c r="J29" s="49">
        <f>ROUND((2950*$T$1),0)*1.05</f>
        <v>3097.5</v>
      </c>
      <c r="K29" s="49">
        <f>ROUND((2997*$T$1),0)*1.05</f>
        <v>3146.85</v>
      </c>
      <c r="L29" s="49">
        <f>ROUND((3043*$T$1),0)*1.05</f>
        <v>3195.15</v>
      </c>
      <c r="M29" s="49">
        <f>ROUND((3089*$T$1),0)*1.05</f>
        <v>3243.4500000000003</v>
      </c>
      <c r="N29" s="49">
        <f>ROUND((3135*$T$1),0)*1.05</f>
        <v>3291.75</v>
      </c>
      <c r="O29" s="49">
        <f>ROUND((3181*$T$1),0)*1.05</f>
        <v>3340.05</v>
      </c>
      <c r="P29" s="49">
        <f>ROUND((3265*$T$1),0)*1.05</f>
        <v>3428.25</v>
      </c>
      <c r="Q29" s="49">
        <f>ROUND((3404*$T$1),0)*1.05</f>
        <v>3574.2000000000003</v>
      </c>
      <c r="S29" s="33"/>
      <c r="T29" s="33"/>
      <c r="U29" s="33"/>
      <c r="V29" s="33"/>
      <c r="W29" s="33"/>
      <c r="X29" s="33"/>
      <c r="Y29" s="33"/>
      <c r="Z29" s="33"/>
    </row>
    <row r="30" spans="1:26" ht="15" customHeight="1" x14ac:dyDescent="0.3">
      <c r="A30" s="42" t="s">
        <v>85</v>
      </c>
      <c r="B30" s="43"/>
      <c r="C30" s="44"/>
      <c r="D30" s="45"/>
      <c r="E30" s="46"/>
      <c r="F30" s="47"/>
      <c r="G30" s="46"/>
      <c r="H30" s="47"/>
      <c r="I30" s="48"/>
      <c r="J30" s="49"/>
      <c r="K30" s="49"/>
      <c r="L30" s="49"/>
      <c r="M30" s="49"/>
      <c r="N30" s="49"/>
      <c r="O30" s="49"/>
      <c r="P30" s="49"/>
      <c r="Q30" s="49"/>
    </row>
    <row r="31" spans="1:26" ht="15" customHeight="1" x14ac:dyDescent="0.3">
      <c r="A31" s="42"/>
      <c r="B31" s="44" t="s">
        <v>86</v>
      </c>
      <c r="C31" s="44" t="s">
        <v>45</v>
      </c>
      <c r="D31" s="45" t="s">
        <v>58</v>
      </c>
      <c r="E31" s="46" t="s">
        <v>47</v>
      </c>
      <c r="F31" s="47">
        <v>0.74</v>
      </c>
      <c r="G31" s="46" t="s">
        <v>48</v>
      </c>
      <c r="H31" s="47">
        <v>0.48</v>
      </c>
      <c r="I31" s="48">
        <v>2.41</v>
      </c>
      <c r="J31" s="49">
        <f>ROUND((2150*$T$1),0)*1.05</f>
        <v>2257.5</v>
      </c>
      <c r="K31" s="49">
        <f>ROUND((2167*$T$1),0)*1.05</f>
        <v>2275.35</v>
      </c>
      <c r="L31" s="49">
        <f>ROUND((2192*$T$1),0)*1.05</f>
        <v>2301.6</v>
      </c>
      <c r="M31" s="49">
        <f>ROUND((2217*$T$1),0)*1.05</f>
        <v>2327.85</v>
      </c>
      <c r="N31" s="49">
        <f>ROUND((2242*$T$1),0)*1.05</f>
        <v>2354.1</v>
      </c>
      <c r="O31" s="49">
        <f>ROUND((2267*$T$1),0)*1.05</f>
        <v>2380.35</v>
      </c>
      <c r="P31" s="49">
        <f>ROUND((2292*$T$1),0)*1.05</f>
        <v>2406.6</v>
      </c>
      <c r="Q31" s="49">
        <f>ROUND((2342*$T$1),0)*1.05</f>
        <v>2459.1</v>
      </c>
      <c r="S31" s="33"/>
      <c r="T31" s="33"/>
      <c r="U31" s="33"/>
      <c r="V31" s="33"/>
      <c r="W31" s="33"/>
      <c r="X31" s="33"/>
      <c r="Y31" s="33"/>
      <c r="Z31" s="33"/>
    </row>
    <row r="32" spans="1:26" ht="15" customHeight="1" x14ac:dyDescent="0.3">
      <c r="A32" s="42"/>
      <c r="B32" s="44" t="s">
        <v>86</v>
      </c>
      <c r="C32" s="44" t="s">
        <v>45</v>
      </c>
      <c r="D32" s="45" t="s">
        <v>60</v>
      </c>
      <c r="E32" s="46" t="s">
        <v>47</v>
      </c>
      <c r="F32" s="47">
        <v>0.74</v>
      </c>
      <c r="G32" s="46" t="s">
        <v>48</v>
      </c>
      <c r="H32" s="47">
        <v>0.48</v>
      </c>
      <c r="I32" s="48">
        <v>2.36</v>
      </c>
      <c r="J32" s="49">
        <f>ROUND((2020*$T$1),0)*1.05</f>
        <v>2121</v>
      </c>
      <c r="K32" s="49">
        <f>ROUND((2045*$T$1),0)*1.05</f>
        <v>2147.25</v>
      </c>
      <c r="L32" s="49">
        <f>ROUND((2070*$T$1),0)*1.05</f>
        <v>2173.5</v>
      </c>
      <c r="M32" s="49">
        <f>ROUND((2095*$T$1),0)*1.05</f>
        <v>2199.75</v>
      </c>
      <c r="N32" s="49">
        <f>ROUND((2120*$T$1),0)*1.05</f>
        <v>2226</v>
      </c>
      <c r="O32" s="49">
        <f>ROUND((2145*$T$1),0)*1.05</f>
        <v>2252.25</v>
      </c>
      <c r="P32" s="49">
        <f>ROUND((2170*$T$1),0)*1.05</f>
        <v>2278.5</v>
      </c>
      <c r="Q32" s="49">
        <f>ROUND((2220*$T$1),0)*1.05</f>
        <v>2331</v>
      </c>
      <c r="S32" s="33"/>
      <c r="T32" s="33"/>
      <c r="U32" s="33"/>
      <c r="V32" s="33"/>
      <c r="W32" s="33"/>
      <c r="X32" s="33"/>
      <c r="Y32" s="33"/>
      <c r="Z32" s="33"/>
    </row>
    <row r="33" spans="1:26" ht="15" customHeight="1" x14ac:dyDescent="0.3">
      <c r="A33" s="42"/>
      <c r="B33" s="44" t="s">
        <v>86</v>
      </c>
      <c r="C33" s="44" t="s">
        <v>45</v>
      </c>
      <c r="D33" s="45" t="s">
        <v>62</v>
      </c>
      <c r="E33" s="46" t="s">
        <v>47</v>
      </c>
      <c r="F33" s="47">
        <v>0.74</v>
      </c>
      <c r="G33" s="46" t="s">
        <v>48</v>
      </c>
      <c r="H33" s="47">
        <v>0.48</v>
      </c>
      <c r="I33" s="48">
        <v>2.31</v>
      </c>
      <c r="J33" s="49">
        <f>ROUND((1840*$T$1),0)*1.05</f>
        <v>1932</v>
      </c>
      <c r="K33" s="49">
        <f>ROUND((1858*$T$1),0)*1.05</f>
        <v>1950.9</v>
      </c>
      <c r="L33" s="49">
        <f>ROUND((1873*$T$1),0)*1.05</f>
        <v>1966.65</v>
      </c>
      <c r="M33" s="49">
        <f>ROUND((1891*$T$1),0)*1.05</f>
        <v>1985.5500000000002</v>
      </c>
      <c r="N33" s="49">
        <f>ROUND((1908*$T$1),0)*1.05</f>
        <v>2003.4</v>
      </c>
      <c r="O33" s="49">
        <f>ROUND((1918*$T$1),0)*1.05</f>
        <v>2013.9</v>
      </c>
      <c r="P33" s="49">
        <f>ROUND((1948*$T$1),0)*1.05</f>
        <v>2045.4</v>
      </c>
      <c r="Q33" s="49">
        <f>ROUND((1998*$T$1),0)*1.05</f>
        <v>2097.9</v>
      </c>
      <c r="R33" s="33"/>
      <c r="S33" s="33"/>
      <c r="T33" s="33"/>
      <c r="U33" s="33"/>
      <c r="V33" s="33"/>
      <c r="W33" s="33"/>
      <c r="X33" s="33"/>
      <c r="Y33" s="33"/>
      <c r="Z33" s="33"/>
    </row>
    <row r="34" spans="1:26" ht="15" customHeight="1" x14ac:dyDescent="0.3">
      <c r="A34" s="42"/>
      <c r="B34" s="44" t="s">
        <v>86</v>
      </c>
      <c r="C34" s="44" t="s">
        <v>45</v>
      </c>
      <c r="D34" s="45" t="s">
        <v>64</v>
      </c>
      <c r="E34" s="46" t="s">
        <v>47</v>
      </c>
      <c r="F34" s="47">
        <v>0.74</v>
      </c>
      <c r="G34" s="46" t="s">
        <v>48</v>
      </c>
      <c r="H34" s="47">
        <v>0.48</v>
      </c>
      <c r="I34" s="48">
        <v>2.27</v>
      </c>
      <c r="J34" s="49">
        <f>ROUND((1650*$T$1),0)*1.05</f>
        <v>1732.5</v>
      </c>
      <c r="K34" s="49">
        <f>ROUND((1675*$T$1),0)*1.05</f>
        <v>1758.75</v>
      </c>
      <c r="L34" s="49">
        <f>ROUND((1700*$T$1),0)*1.05</f>
        <v>1785</v>
      </c>
      <c r="M34" s="49">
        <f>ROUND((1725*$T$1),0)*1.05</f>
        <v>1811.25</v>
      </c>
      <c r="N34" s="49">
        <f>ROUND((1750*$T$1),0)*1.05</f>
        <v>1837.5</v>
      </c>
      <c r="O34" s="49">
        <f>ROUND((1775*$T$1),0)*1.05</f>
        <v>1863.75</v>
      </c>
      <c r="P34" s="49">
        <f>ROUND((1800*$T$1),0)*1.05</f>
        <v>1890</v>
      </c>
      <c r="Q34" s="49">
        <f>ROUND((1850*$T$1),0)*1.05</f>
        <v>1942.5</v>
      </c>
      <c r="S34" s="33"/>
      <c r="T34" s="33"/>
      <c r="U34" s="33"/>
      <c r="V34" s="33"/>
      <c r="W34" s="33"/>
      <c r="X34" s="33"/>
      <c r="Y34" s="33"/>
      <c r="Z34" s="33"/>
    </row>
    <row r="35" spans="1:26" ht="15" customHeight="1" x14ac:dyDescent="0.3">
      <c r="A35" s="42"/>
      <c r="B35" s="44" t="s">
        <v>87</v>
      </c>
      <c r="C35" s="44" t="s">
        <v>45</v>
      </c>
      <c r="D35" s="45" t="s">
        <v>62</v>
      </c>
      <c r="E35" s="46" t="s">
        <v>47</v>
      </c>
      <c r="F35" s="47">
        <v>1</v>
      </c>
      <c r="G35" s="46" t="s">
        <v>48</v>
      </c>
      <c r="H35" s="47">
        <v>0.48</v>
      </c>
      <c r="I35" s="48">
        <v>4.82</v>
      </c>
      <c r="J35" s="49">
        <f>ROUND((1510*$T$1),0)*1.05</f>
        <v>1585.5</v>
      </c>
      <c r="K35" s="49">
        <f>ROUND((1535*$T$1),0)*1.05</f>
        <v>1611.75</v>
      </c>
      <c r="L35" s="49">
        <f>ROUND((1560*$T$1),0)*1.05</f>
        <v>1638</v>
      </c>
      <c r="M35" s="49">
        <f>ROUND((1585*$T$1),0)*1.05</f>
        <v>1664.25</v>
      </c>
      <c r="N35" s="49">
        <f>ROUND((1610*$T$1),0)*1.05</f>
        <v>1690.5</v>
      </c>
      <c r="O35" s="49">
        <f>ROUND((1635*$T$1),0)*1.05</f>
        <v>1716.75</v>
      </c>
      <c r="P35" s="49">
        <f>ROUND((1660*$T$1),0)*1.05</f>
        <v>1743</v>
      </c>
      <c r="Q35" s="49">
        <f>ROUND((1710*$T$1),0)*1.05</f>
        <v>1795.5</v>
      </c>
    </row>
    <row r="36" spans="1:26" ht="9.75" customHeight="1" x14ac:dyDescent="0.3">
      <c r="A36" s="42"/>
      <c r="B36" s="44"/>
      <c r="C36" s="44"/>
      <c r="D36" s="47"/>
      <c r="E36" s="46"/>
      <c r="F36" s="47"/>
      <c r="G36" s="46"/>
      <c r="H36" s="47"/>
      <c r="I36" s="57"/>
      <c r="J36" s="58"/>
      <c r="K36" s="58"/>
      <c r="L36" s="58"/>
      <c r="M36" s="58"/>
      <c r="N36" s="58"/>
      <c r="O36" s="58"/>
      <c r="P36" s="58"/>
      <c r="Q36" s="58"/>
    </row>
    <row r="37" spans="1:26" ht="15" customHeight="1" x14ac:dyDescent="0.3">
      <c r="A37" s="42"/>
      <c r="B37" s="59" t="s">
        <v>88</v>
      </c>
      <c r="C37" s="60"/>
      <c r="D37" s="59"/>
      <c r="E37" s="59"/>
      <c r="F37" s="59"/>
      <c r="G37" s="59"/>
      <c r="H37" s="59"/>
      <c r="I37" s="61"/>
      <c r="J37" s="62"/>
      <c r="K37" s="62"/>
      <c r="L37" s="62"/>
      <c r="M37" s="62"/>
      <c r="N37" s="62"/>
      <c r="O37" s="62"/>
      <c r="P37" s="62"/>
      <c r="Q37" s="62"/>
    </row>
    <row r="38" spans="1:26" ht="7.5" customHeight="1" x14ac:dyDescent="0.3">
      <c r="A38" s="42"/>
      <c r="B38" s="63"/>
      <c r="C38" s="64"/>
      <c r="D38" s="65"/>
      <c r="E38" s="49"/>
      <c r="F38" s="66"/>
      <c r="G38" s="48"/>
      <c r="H38" s="66"/>
      <c r="I38" s="48"/>
      <c r="J38" s="49"/>
      <c r="K38" s="49"/>
      <c r="L38" s="49"/>
      <c r="M38" s="49"/>
      <c r="N38" s="49"/>
      <c r="O38" s="49"/>
      <c r="P38" s="49"/>
      <c r="Q38" s="49"/>
    </row>
    <row r="39" spans="1:26" ht="15" customHeight="1" x14ac:dyDescent="0.3">
      <c r="A39" s="67"/>
      <c r="B39" s="68"/>
      <c r="C39" s="69"/>
      <c r="D39" s="70"/>
      <c r="E39" s="71"/>
      <c r="F39" s="72"/>
      <c r="G39" s="73"/>
      <c r="H39" s="72"/>
      <c r="I39" s="74"/>
      <c r="J39" s="75"/>
      <c r="K39" s="75"/>
      <c r="L39" s="75"/>
      <c r="M39" s="75"/>
      <c r="N39" s="75"/>
      <c r="O39" s="75"/>
      <c r="P39" s="75"/>
      <c r="Q39" s="75"/>
    </row>
    <row r="40" spans="1:26" ht="31.5" customHeight="1" x14ac:dyDescent="0.25">
      <c r="A40" s="39" t="s">
        <v>89</v>
      </c>
      <c r="B40" s="39"/>
      <c r="C40" s="187" t="s">
        <v>41</v>
      </c>
      <c r="D40" s="187"/>
      <c r="E40" s="187"/>
      <c r="F40" s="187"/>
      <c r="G40" s="187"/>
      <c r="H40" s="187"/>
      <c r="I40" s="40" t="s">
        <v>42</v>
      </c>
      <c r="J40" s="41" t="s">
        <v>43</v>
      </c>
      <c r="K40" s="41">
        <v>1000</v>
      </c>
      <c r="L40" s="41">
        <v>2000</v>
      </c>
      <c r="M40" s="41">
        <v>3000</v>
      </c>
      <c r="N40" s="41">
        <v>4000</v>
      </c>
      <c r="O40" s="41">
        <v>5000</v>
      </c>
      <c r="P40" s="41">
        <v>6000</v>
      </c>
      <c r="Q40" s="41">
        <v>7000</v>
      </c>
    </row>
    <row r="41" spans="1:26" ht="19.5" customHeight="1" x14ac:dyDescent="0.3">
      <c r="A41" s="42"/>
      <c r="B41" s="43" t="s">
        <v>90</v>
      </c>
      <c r="C41" s="44" t="s">
        <v>45</v>
      </c>
      <c r="D41" s="45" t="s">
        <v>81</v>
      </c>
      <c r="E41" s="46" t="s">
        <v>47</v>
      </c>
      <c r="F41" s="47">
        <v>1.17</v>
      </c>
      <c r="G41" s="46" t="s">
        <v>48</v>
      </c>
      <c r="H41" s="47">
        <v>0.98</v>
      </c>
      <c r="I41" s="48">
        <v>12.8</v>
      </c>
      <c r="J41" s="49">
        <f>ROUND((4414*$T$1),0)*1.05</f>
        <v>4634.7</v>
      </c>
      <c r="K41" s="49">
        <f>ROUND((4489*$T$1),0)*1.05</f>
        <v>4713.45</v>
      </c>
      <c r="L41" s="49">
        <f>ROUND((4576*$T$1),0)*1.05</f>
        <v>4804.8</v>
      </c>
      <c r="M41" s="49">
        <f>ROUND((4662*$T$1),0)*1.05</f>
        <v>4895.1000000000004</v>
      </c>
      <c r="N41" s="49">
        <f>ROUND((4748*$T$1),0)*1.05</f>
        <v>4985.4000000000005</v>
      </c>
      <c r="O41" s="49">
        <f>ROUND((4801*$T$1),0)*1.05</f>
        <v>5041.05</v>
      </c>
      <c r="P41" s="49">
        <f>ROUND((4887*$T$1),0)*1.05</f>
        <v>5131.3500000000004</v>
      </c>
      <c r="Q41" s="49">
        <f>ROUND((5137*$T$1),0)*1.05</f>
        <v>5393.85</v>
      </c>
      <c r="R41" s="33"/>
      <c r="S41" s="33"/>
      <c r="T41" s="33"/>
      <c r="U41" s="33"/>
      <c r="V41" s="33"/>
    </row>
    <row r="42" spans="1:26" ht="19.5" customHeight="1" x14ac:dyDescent="0.3">
      <c r="A42" s="42"/>
      <c r="B42" s="43" t="s">
        <v>91</v>
      </c>
      <c r="C42" s="44" t="s">
        <v>45</v>
      </c>
      <c r="D42" s="45" t="s">
        <v>83</v>
      </c>
      <c r="E42" s="46" t="s">
        <v>47</v>
      </c>
      <c r="F42" s="47">
        <v>1.17</v>
      </c>
      <c r="G42" s="46" t="s">
        <v>48</v>
      </c>
      <c r="H42" s="47">
        <v>0.98</v>
      </c>
      <c r="I42" s="48">
        <v>12.4</v>
      </c>
      <c r="J42" s="49">
        <f>ROUND((4090*$T$1),0)*1.05</f>
        <v>4294.5</v>
      </c>
      <c r="K42" s="49">
        <f>ROUND((4165*$T$1),0)*1.05</f>
        <v>4373.25</v>
      </c>
      <c r="L42" s="49">
        <f>ROUND((4240*$T$1),0)*1.05</f>
        <v>4452</v>
      </c>
      <c r="M42" s="49">
        <f>ROUND((4327*$T$1),0)*1.05</f>
        <v>4543.3500000000004</v>
      </c>
      <c r="N42" s="49">
        <f>ROUND((4413*$T$1),0)*1.05</f>
        <v>4633.6500000000005</v>
      </c>
      <c r="O42" s="49">
        <f>ROUND((4473*$T$1),0)*1.05</f>
        <v>4696.6500000000005</v>
      </c>
      <c r="P42" s="49">
        <f>ROUND((4558*$T$1),0)*1.05</f>
        <v>4785.9000000000005</v>
      </c>
      <c r="Q42" s="49">
        <f>ROUND((4808*$T$1),0)*1.05</f>
        <v>5048.4000000000005</v>
      </c>
      <c r="R42" s="33"/>
      <c r="S42" s="33"/>
      <c r="T42" s="33"/>
      <c r="U42" s="33"/>
      <c r="V42" s="33"/>
    </row>
    <row r="43" spans="1:26" ht="19.5" customHeight="1" x14ac:dyDescent="0.3">
      <c r="A43" s="42"/>
      <c r="B43" s="43" t="s">
        <v>92</v>
      </c>
      <c r="C43" s="44" t="s">
        <v>45</v>
      </c>
      <c r="D43" s="45" t="s">
        <v>58</v>
      </c>
      <c r="E43" s="46" t="s">
        <v>47</v>
      </c>
      <c r="F43" s="47">
        <v>1.17</v>
      </c>
      <c r="G43" s="46" t="s">
        <v>48</v>
      </c>
      <c r="H43" s="47">
        <v>0.98</v>
      </c>
      <c r="I43" s="48">
        <v>12</v>
      </c>
      <c r="J43" s="49">
        <f>ROUND((3784*$T$1),0)*1.05</f>
        <v>3973.2000000000003</v>
      </c>
      <c r="K43" s="49">
        <f>ROUND((3831*$T$1),0)*1.05</f>
        <v>4022.55</v>
      </c>
      <c r="L43" s="49">
        <f>ROUND((3905*$T$1),0)*1.05</f>
        <v>4100.25</v>
      </c>
      <c r="M43" s="49">
        <f>ROUND((3993*$T$1),0)*1.05</f>
        <v>4192.6500000000005</v>
      </c>
      <c r="N43" s="49">
        <f>ROUND((4079*$T$1),0)*1.05</f>
        <v>4282.95</v>
      </c>
      <c r="O43" s="49">
        <f>ROUND((4132*$T$1),0)*1.05</f>
        <v>4338.6000000000004</v>
      </c>
      <c r="P43" s="49">
        <f>ROUND((4288*$T$1),0)*1.05</f>
        <v>4502.4000000000005</v>
      </c>
      <c r="Q43" s="49">
        <f>ROUND((4549*$T$1),0)*1.05</f>
        <v>4776.45</v>
      </c>
      <c r="R43" s="33"/>
      <c r="S43" s="33"/>
      <c r="T43" s="33"/>
      <c r="U43" s="33"/>
      <c r="V43" s="33"/>
    </row>
    <row r="44" spans="1:26" ht="19.5" customHeight="1" x14ac:dyDescent="0.3">
      <c r="A44" s="42"/>
      <c r="B44" s="50" t="s">
        <v>93</v>
      </c>
      <c r="C44" s="44" t="s">
        <v>45</v>
      </c>
      <c r="D44" s="45" t="s">
        <v>60</v>
      </c>
      <c r="E44" s="46" t="s">
        <v>47</v>
      </c>
      <c r="F44" s="47">
        <v>1.17</v>
      </c>
      <c r="G44" s="46" t="s">
        <v>48</v>
      </c>
      <c r="H44" s="47">
        <v>0.98</v>
      </c>
      <c r="I44" s="48">
        <v>11.8</v>
      </c>
      <c r="J44" s="49">
        <f>ROUND((3468*$T$1),0)*1.05</f>
        <v>3641.4</v>
      </c>
      <c r="K44" s="49">
        <f>ROUND((3543*$T$1),0)*1.05</f>
        <v>3720.15</v>
      </c>
      <c r="L44" s="49">
        <f>ROUND((3618*$T$1),0)*1.05</f>
        <v>3798.9</v>
      </c>
      <c r="M44" s="49">
        <f>ROUND((3705*$T$1),0)*1.05</f>
        <v>3890.25</v>
      </c>
      <c r="N44" s="49">
        <f>ROUND((3791*$T$1),0)*1.05</f>
        <v>3980.55</v>
      </c>
      <c r="O44" s="49">
        <f>ROUND((3876*$T$1),0)*1.05</f>
        <v>4069.8</v>
      </c>
      <c r="P44" s="49">
        <f>ROUND((3931*$T$1),0)*1.05</f>
        <v>4127.55</v>
      </c>
      <c r="Q44" s="49">
        <f>ROUND((4181*$T$1),0)*1.05</f>
        <v>4390.05</v>
      </c>
      <c r="R44" s="33"/>
      <c r="S44" s="33"/>
      <c r="T44" s="33"/>
      <c r="U44" s="33"/>
      <c r="V44" s="33"/>
    </row>
    <row r="45" spans="1:26" ht="19.5" customHeight="1" x14ac:dyDescent="0.3">
      <c r="A45" s="42"/>
      <c r="B45" s="50"/>
      <c r="C45" s="51"/>
      <c r="D45" s="52"/>
      <c r="E45" s="53"/>
      <c r="F45" s="54"/>
      <c r="G45" s="53"/>
      <c r="H45" s="54"/>
      <c r="I45" s="55"/>
      <c r="J45" s="56"/>
      <c r="K45" s="56"/>
      <c r="L45" s="56"/>
      <c r="M45" s="56"/>
      <c r="N45" s="56"/>
      <c r="O45" s="56"/>
      <c r="P45" s="56"/>
      <c r="Q45" s="56"/>
    </row>
    <row r="46" spans="1:26" ht="19.5" customHeight="1" x14ac:dyDescent="0.3">
      <c r="A46" s="42"/>
      <c r="B46" s="50" t="s">
        <v>94</v>
      </c>
      <c r="C46" s="44" t="s">
        <v>45</v>
      </c>
      <c r="D46" s="45" t="s">
        <v>81</v>
      </c>
      <c r="E46" s="46" t="s">
        <v>47</v>
      </c>
      <c r="F46" s="47">
        <v>1.57</v>
      </c>
      <c r="G46" s="46" t="s">
        <v>48</v>
      </c>
      <c r="H46" s="47">
        <v>0.98</v>
      </c>
      <c r="I46" s="48">
        <v>14</v>
      </c>
      <c r="J46" s="49">
        <f>ROUND((4763*$T$1),0)*1.05</f>
        <v>5001.1500000000005</v>
      </c>
      <c r="K46" s="49">
        <f>ROUND((4845*$T$1),0)*1.05</f>
        <v>5087.25</v>
      </c>
      <c r="L46" s="49">
        <f>ROUND((4927*$T$1),0)*1.05</f>
        <v>5173.3500000000004</v>
      </c>
      <c r="M46" s="49">
        <f>ROUND((5020*$T$1),0)*1.05</f>
        <v>5271</v>
      </c>
      <c r="N46" s="49">
        <f>ROUND((5114*$T$1),0)*1.05</f>
        <v>5369.7</v>
      </c>
      <c r="O46" s="49">
        <f>ROUND((5208*$T$1),0)*1.05</f>
        <v>5468.4000000000005</v>
      </c>
      <c r="P46" s="49">
        <f>ROUND((5302*$T$1),0)*1.05</f>
        <v>5567.1</v>
      </c>
      <c r="Q46" s="49">
        <f>ROUND((5502*$T$1),0)*1.05</f>
        <v>5777.1</v>
      </c>
      <c r="R46" s="33"/>
      <c r="S46" s="33"/>
      <c r="T46" s="33"/>
      <c r="U46" s="33"/>
      <c r="V46" s="33"/>
    </row>
    <row r="47" spans="1:26" ht="19.5" customHeight="1" x14ac:dyDescent="0.3">
      <c r="A47" s="42"/>
      <c r="B47" s="50" t="s">
        <v>95</v>
      </c>
      <c r="C47" s="44" t="s">
        <v>45</v>
      </c>
      <c r="D47" s="45" t="s">
        <v>83</v>
      </c>
      <c r="E47" s="46" t="s">
        <v>47</v>
      </c>
      <c r="F47" s="47">
        <v>1.57</v>
      </c>
      <c r="G47" s="46" t="s">
        <v>48</v>
      </c>
      <c r="H47" s="47">
        <v>0.98</v>
      </c>
      <c r="I47" s="48">
        <v>13.5</v>
      </c>
      <c r="J47" s="49">
        <f>ROUND((4423*$T$1),0)*1.05</f>
        <v>4644.1500000000005</v>
      </c>
      <c r="K47" s="49">
        <f>ROUND((4505*$T$1),0)*1.05</f>
        <v>4730.25</v>
      </c>
      <c r="L47" s="49">
        <f>ROUND((4598*$T$1),0)*1.05</f>
        <v>4827.9000000000005</v>
      </c>
      <c r="M47" s="49">
        <f>ROUND((4691*$T$1),0)*1.05</f>
        <v>4925.55</v>
      </c>
      <c r="N47" s="49">
        <f>ROUND((4784*$T$1),0)*1.05</f>
        <v>5023.2</v>
      </c>
      <c r="O47" s="49">
        <f>ROUND((4785*$T$1),0)*1.05</f>
        <v>5024.25</v>
      </c>
      <c r="P47" s="49">
        <f>ROUND((4931*$T$1),0)*1.05</f>
        <v>5177.55</v>
      </c>
      <c r="Q47" s="49">
        <f>ROUND((5131*$T$1),0)*1.05</f>
        <v>5387.55</v>
      </c>
      <c r="R47" s="33"/>
      <c r="S47" s="33"/>
      <c r="T47" s="33"/>
      <c r="U47" s="33"/>
      <c r="V47" s="33"/>
    </row>
    <row r="48" spans="1:26" ht="19.5" customHeight="1" x14ac:dyDescent="0.3">
      <c r="A48" s="42"/>
      <c r="B48" s="50" t="s">
        <v>96</v>
      </c>
      <c r="C48" s="44" t="s">
        <v>45</v>
      </c>
      <c r="D48" s="45" t="s">
        <v>58</v>
      </c>
      <c r="E48" s="46" t="s">
        <v>47</v>
      </c>
      <c r="F48" s="47">
        <v>1.57</v>
      </c>
      <c r="G48" s="46" t="s">
        <v>48</v>
      </c>
      <c r="H48" s="47">
        <v>0.98</v>
      </c>
      <c r="I48" s="48">
        <v>13</v>
      </c>
      <c r="J48" s="49">
        <f>ROUND((4083*$T$1),0)*1.05</f>
        <v>4287.1500000000005</v>
      </c>
      <c r="K48" s="49">
        <f>ROUND((4138*$T$1),0)*1.05</f>
        <v>4344.9000000000005</v>
      </c>
      <c r="L48" s="49">
        <f>ROUND((4219*$T$1),0)*1.05</f>
        <v>4429.95</v>
      </c>
      <c r="M48" s="49">
        <f>ROUND((4313*$T$1),0)*1.05</f>
        <v>4528.6500000000005</v>
      </c>
      <c r="N48" s="49">
        <f>ROUND((4407*$T$1),0)*1.05</f>
        <v>4627.3500000000004</v>
      </c>
      <c r="O48" s="49">
        <f>ROUND((4463*$T$1),0)*1.05</f>
        <v>4686.1500000000005</v>
      </c>
      <c r="P48" s="49">
        <f>ROUND((4632*$T$1),0)*1.05</f>
        <v>4863.6000000000004</v>
      </c>
      <c r="Q48" s="49">
        <f>ROUND((4914*$T$1),0)*1.05</f>
        <v>5159.7</v>
      </c>
      <c r="R48" s="33"/>
      <c r="S48" s="33"/>
      <c r="T48" s="33"/>
      <c r="U48" s="33"/>
      <c r="V48" s="33"/>
    </row>
    <row r="49" spans="1:22" ht="19.5" customHeight="1" x14ac:dyDescent="0.3">
      <c r="A49" s="42"/>
      <c r="B49" s="50" t="s">
        <v>97</v>
      </c>
      <c r="C49" s="44" t="s">
        <v>45</v>
      </c>
      <c r="D49" s="45" t="s">
        <v>60</v>
      </c>
      <c r="E49" s="46" t="s">
        <v>47</v>
      </c>
      <c r="F49" s="47">
        <v>1.57</v>
      </c>
      <c r="G49" s="46" t="s">
        <v>48</v>
      </c>
      <c r="H49" s="47">
        <v>0.98</v>
      </c>
      <c r="I49" s="48">
        <v>12.8</v>
      </c>
      <c r="J49" s="49">
        <f>ROUND((3742*$T$1),0)*1.05</f>
        <v>3929.1000000000004</v>
      </c>
      <c r="K49" s="49">
        <f>ROUND((3824*$T$1),0)*1.05</f>
        <v>4015.2000000000003</v>
      </c>
      <c r="L49" s="49">
        <f>ROUND((3917*$T$1),0)*1.05</f>
        <v>4112.8500000000004</v>
      </c>
      <c r="M49" s="49">
        <f>ROUND((4011*$T$1),0)*1.05</f>
        <v>4211.55</v>
      </c>
      <c r="N49" s="49">
        <f>ROUND((4105*$T$1),0)*1.05</f>
        <v>4310.25</v>
      </c>
      <c r="O49" s="49">
        <f>ROUND((4199*$T$1),0)*1.05</f>
        <v>4408.95</v>
      </c>
      <c r="P49" s="49">
        <f>ROUND((4255*$T$1),0)*1.05</f>
        <v>4467.75</v>
      </c>
      <c r="Q49" s="49">
        <f>ROUND((4455*$T$1),0)*1.05</f>
        <v>4677.75</v>
      </c>
      <c r="R49" s="33"/>
      <c r="S49" s="33"/>
      <c r="T49" s="33"/>
      <c r="U49" s="33"/>
      <c r="V49" s="33"/>
    </row>
    <row r="50" spans="1:22" ht="19.5" customHeight="1" x14ac:dyDescent="0.3">
      <c r="A50" s="42"/>
      <c r="B50" s="43"/>
      <c r="C50" s="44"/>
      <c r="D50" s="45"/>
      <c r="E50" s="46"/>
      <c r="F50" s="47"/>
      <c r="G50" s="46"/>
      <c r="H50" s="47"/>
      <c r="I50" s="48"/>
      <c r="J50" s="49"/>
      <c r="K50" s="49"/>
      <c r="L50" s="49"/>
      <c r="M50" s="49"/>
      <c r="N50" s="49"/>
      <c r="O50" s="49"/>
      <c r="P50" s="49"/>
      <c r="Q50" s="49"/>
    </row>
    <row r="51" spans="1:22" ht="19.5" customHeight="1" x14ac:dyDescent="0.3">
      <c r="A51" s="42"/>
      <c r="B51" s="44" t="s">
        <v>98</v>
      </c>
      <c r="C51" s="44" t="s">
        <v>45</v>
      </c>
      <c r="D51" s="45" t="s">
        <v>62</v>
      </c>
      <c r="E51" s="46" t="s">
        <v>47</v>
      </c>
      <c r="F51" s="47">
        <v>0.65</v>
      </c>
      <c r="G51" s="46" t="s">
        <v>48</v>
      </c>
      <c r="H51" s="47">
        <v>0.48</v>
      </c>
      <c r="I51" s="48">
        <v>4</v>
      </c>
      <c r="J51" s="49">
        <f>ROUND((1277*$T$1),0)*1.05</f>
        <v>1340.8500000000001</v>
      </c>
      <c r="K51" s="49">
        <f>ROUND((1317*$T$1),0)*1.05</f>
        <v>1382.8500000000001</v>
      </c>
      <c r="L51" s="49">
        <f>ROUND((1336*$T$1),0)*1.05</f>
        <v>1402.8</v>
      </c>
      <c r="M51" s="49">
        <f>ROUND((1359*$T$1),0)*1.05</f>
        <v>1426.95</v>
      </c>
      <c r="N51" s="49">
        <f>ROUND((1382*$T$1),0)*1.05</f>
        <v>1451.1000000000001</v>
      </c>
      <c r="O51" s="49">
        <f>ROUND((1396*$T$1),0)*1.05</f>
        <v>1465.8</v>
      </c>
      <c r="P51" s="49">
        <f>ROUND((1436*$T$1),0)*1.05</f>
        <v>1507.8</v>
      </c>
      <c r="Q51" s="49">
        <f>ROUND((1504*$T$1),0)*1.05</f>
        <v>1579.2</v>
      </c>
    </row>
    <row r="52" spans="1:22" ht="19.5" customHeight="1" x14ac:dyDescent="0.3">
      <c r="A52" s="42"/>
      <c r="B52" s="44"/>
      <c r="C52" s="44"/>
      <c r="D52" s="47"/>
      <c r="E52" s="46"/>
      <c r="F52" s="47"/>
      <c r="G52" s="46"/>
      <c r="H52" s="47"/>
      <c r="I52" s="57"/>
      <c r="J52" s="58"/>
      <c r="K52" s="58"/>
      <c r="L52" s="58"/>
      <c r="M52" s="58"/>
      <c r="N52" s="58"/>
      <c r="O52" s="58"/>
      <c r="P52" s="58"/>
      <c r="Q52" s="58"/>
    </row>
    <row r="53" spans="1:22" ht="19.5" customHeight="1" x14ac:dyDescent="0.3">
      <c r="A53" s="42"/>
      <c r="B53" s="59" t="s">
        <v>88</v>
      </c>
      <c r="C53" s="60"/>
      <c r="D53" s="59"/>
      <c r="E53" s="59"/>
      <c r="F53" s="59"/>
      <c r="G53" s="59"/>
      <c r="H53" s="59"/>
      <c r="I53" s="61"/>
      <c r="J53" s="62"/>
      <c r="K53" s="62"/>
      <c r="L53" s="62"/>
      <c r="M53" s="62"/>
      <c r="N53" s="62"/>
      <c r="O53" s="62"/>
      <c r="P53" s="62"/>
      <c r="Q53" s="62"/>
    </row>
    <row r="54" spans="1:22" ht="9" customHeight="1" x14ac:dyDescent="0.3">
      <c r="A54" s="42"/>
      <c r="B54" s="63"/>
      <c r="C54" s="64"/>
      <c r="D54" s="65"/>
      <c r="E54" s="49"/>
      <c r="F54" s="66"/>
      <c r="G54" s="48"/>
      <c r="H54" s="66"/>
      <c r="I54" s="48"/>
      <c r="J54" s="49"/>
      <c r="K54" s="49"/>
      <c r="L54" s="49"/>
      <c r="M54" s="49"/>
      <c r="N54" s="49"/>
      <c r="O54" s="49"/>
      <c r="P54" s="49"/>
      <c r="Q54" s="49"/>
    </row>
    <row r="55" spans="1:22" ht="29.1" customHeight="1" x14ac:dyDescent="0.25">
      <c r="A55" s="76" t="s">
        <v>99</v>
      </c>
      <c r="B55" s="77"/>
      <c r="C55" s="187" t="s">
        <v>41</v>
      </c>
      <c r="D55" s="187"/>
      <c r="E55" s="187"/>
      <c r="F55" s="187"/>
      <c r="G55" s="187"/>
      <c r="H55" s="187"/>
      <c r="I55" s="78" t="s">
        <v>42</v>
      </c>
      <c r="J55" s="41" t="s">
        <v>43</v>
      </c>
      <c r="K55" s="41">
        <v>1000</v>
      </c>
      <c r="L55" s="41">
        <v>2000</v>
      </c>
      <c r="M55" s="41">
        <v>3000</v>
      </c>
      <c r="N55" s="41">
        <v>4000</v>
      </c>
      <c r="O55" s="41">
        <v>5000</v>
      </c>
      <c r="P55" s="41">
        <v>6000</v>
      </c>
      <c r="Q55" s="41">
        <v>7000</v>
      </c>
    </row>
    <row r="56" spans="1:22" ht="19.5" customHeight="1" x14ac:dyDescent="0.3">
      <c r="A56" s="42"/>
      <c r="B56" s="44" t="s">
        <v>100</v>
      </c>
      <c r="C56" s="44" t="s">
        <v>45</v>
      </c>
      <c r="D56" s="47">
        <v>1.6</v>
      </c>
      <c r="E56" s="46" t="s">
        <v>47</v>
      </c>
      <c r="F56" s="47">
        <v>0.9</v>
      </c>
      <c r="G56" s="46" t="s">
        <v>48</v>
      </c>
      <c r="H56" s="47">
        <v>0.76</v>
      </c>
      <c r="I56" s="48">
        <v>7.8</v>
      </c>
      <c r="J56" s="49">
        <f>ROUND((2783*$T$1),0)*1.05</f>
        <v>2922.15</v>
      </c>
      <c r="K56" s="49">
        <f>ROUND((2819*$T$1),0)*1.05</f>
        <v>2959.9500000000003</v>
      </c>
      <c r="L56" s="49">
        <f>ROUND((2868*$T$1),0)*1.05</f>
        <v>3011.4</v>
      </c>
      <c r="M56" s="49">
        <f>ROUND((2924*$T$1),0)*1.05</f>
        <v>3070.2000000000003</v>
      </c>
      <c r="N56" s="49">
        <f>ROUND((2982*$T$1),0)*1.05</f>
        <v>3131.1</v>
      </c>
      <c r="O56" s="49">
        <f>ROUND((3016*$T$1),0)*1.05</f>
        <v>3166.8</v>
      </c>
      <c r="P56" s="49">
        <f>ROUND((3119*$T$1),0)*1.05</f>
        <v>3274.9500000000003</v>
      </c>
      <c r="Q56" s="49">
        <f>ROUND((3289*$T$1),0)*1.05</f>
        <v>3453.4500000000003</v>
      </c>
      <c r="R56" s="33"/>
      <c r="S56" s="33"/>
      <c r="T56" s="33"/>
    </row>
    <row r="57" spans="1:22" ht="19.5" customHeight="1" x14ac:dyDescent="0.3">
      <c r="A57" s="42"/>
      <c r="B57" s="44" t="s">
        <v>101</v>
      </c>
      <c r="C57" s="44" t="s">
        <v>45</v>
      </c>
      <c r="D57" s="47">
        <v>1.9</v>
      </c>
      <c r="E57" s="46" t="s">
        <v>47</v>
      </c>
      <c r="F57" s="47">
        <v>0.9</v>
      </c>
      <c r="G57" s="46" t="s">
        <v>48</v>
      </c>
      <c r="H57" s="47">
        <v>0.76</v>
      </c>
      <c r="I57" s="48">
        <v>9</v>
      </c>
      <c r="J57" s="49">
        <f>ROUND((2802*$T$1),0)*1.05</f>
        <v>2942.1</v>
      </c>
      <c r="K57" s="49">
        <f>ROUND((2950*$T$1),0)*1.05</f>
        <v>3097.5</v>
      </c>
      <c r="L57" s="49">
        <f>ROUND((3100*$T$1),0)*1.05</f>
        <v>3255</v>
      </c>
      <c r="M57" s="49">
        <f>ROUND((3212*$T$1),0)*1.05</f>
        <v>3372.6000000000004</v>
      </c>
      <c r="N57" s="49">
        <f>ROUND((3280*$T$1),0)*1.05</f>
        <v>3444</v>
      </c>
      <c r="O57" s="49">
        <f>ROUND((3365*$T$1),0)*1.05</f>
        <v>3533.25</v>
      </c>
      <c r="P57" s="49">
        <f>ROUND((3449*$T$1),0)*1.05</f>
        <v>3621.4500000000003</v>
      </c>
      <c r="Q57" s="49">
        <f>ROUND((3621*$T$1),0)*1.05</f>
        <v>3802.05</v>
      </c>
      <c r="R57" s="33"/>
      <c r="S57" s="33"/>
      <c r="T57" s="33"/>
    </row>
    <row r="58" spans="1:22" ht="19.5" customHeight="1" x14ac:dyDescent="0.3">
      <c r="A58" s="42"/>
      <c r="B58" s="44" t="s">
        <v>102</v>
      </c>
      <c r="C58" s="44" t="s">
        <v>45</v>
      </c>
      <c r="D58" s="47">
        <v>2.25</v>
      </c>
      <c r="E58" s="46" t="s">
        <v>47</v>
      </c>
      <c r="F58" s="47">
        <v>0.9</v>
      </c>
      <c r="G58" s="46" t="s">
        <v>48</v>
      </c>
      <c r="H58" s="47">
        <v>0.76</v>
      </c>
      <c r="I58" s="48">
        <v>10.1</v>
      </c>
      <c r="J58" s="49">
        <f>ROUND((3312*$T$1),0)*1.05</f>
        <v>3477.6000000000004</v>
      </c>
      <c r="K58" s="49">
        <f>ROUND((3357*$T$1),0)*1.05</f>
        <v>3524.8500000000004</v>
      </c>
      <c r="L58" s="49">
        <f>ROUND((3421*$T$1),0)*1.05</f>
        <v>3592.05</v>
      </c>
      <c r="M58" s="49">
        <f>ROUND((3495*$T$1),0)*1.05</f>
        <v>3669.75</v>
      </c>
      <c r="N58" s="49">
        <f>ROUND((3570*$T$1),0)*1.05</f>
        <v>3748.5</v>
      </c>
      <c r="O58" s="49">
        <f>ROUND((3614*$T$1),0)*1.05</f>
        <v>3794.7000000000003</v>
      </c>
      <c r="P58" s="49">
        <f>ROUND((3748*$T$1),0)*1.05</f>
        <v>3935.4</v>
      </c>
      <c r="Q58" s="49">
        <f>ROUND((3971*$T$1),0)*1.05</f>
        <v>4169.55</v>
      </c>
      <c r="R58" s="33"/>
      <c r="S58" s="33"/>
      <c r="T58" s="33"/>
      <c r="U58" s="33"/>
    </row>
    <row r="59" spans="1:22" ht="19.5" customHeight="1" x14ac:dyDescent="0.3">
      <c r="A59" s="42"/>
      <c r="B59" s="44" t="s">
        <v>103</v>
      </c>
      <c r="C59" s="44" t="s">
        <v>45</v>
      </c>
      <c r="D59" s="47">
        <v>2.8</v>
      </c>
      <c r="E59" s="46" t="s">
        <v>47</v>
      </c>
      <c r="F59" s="47">
        <v>0.9</v>
      </c>
      <c r="G59" s="46" t="s">
        <v>48</v>
      </c>
      <c r="H59" s="47">
        <v>0.76</v>
      </c>
      <c r="I59" s="48">
        <v>13</v>
      </c>
      <c r="J59" s="49">
        <f>ROUND((4120*$T$1),0)*1.05</f>
        <v>4326</v>
      </c>
      <c r="K59" s="49">
        <f>ROUND((4195*$T$1),0)*1.05</f>
        <v>4404.75</v>
      </c>
      <c r="L59" s="49">
        <f>ROUND((4270*$T$1),0)*1.05</f>
        <v>4483.5</v>
      </c>
      <c r="M59" s="49">
        <f>ROUND((4345*$T$1),0)*1.05</f>
        <v>4562.25</v>
      </c>
      <c r="N59" s="49">
        <f>ROUND((4420*$T$1),0)*1.05</f>
        <v>4641</v>
      </c>
      <c r="O59" s="49">
        <f>ROUND((4495*$T$1),0)*1.05</f>
        <v>4719.75</v>
      </c>
      <c r="P59" s="49">
        <f>ROUND((4570*$T$1),0)*1.05</f>
        <v>4798.5</v>
      </c>
      <c r="Q59" s="49">
        <f>ROUND((4645*$T$1),0)*1.05</f>
        <v>4877.25</v>
      </c>
      <c r="R59" s="33"/>
      <c r="S59" s="33"/>
      <c r="T59" s="33"/>
    </row>
    <row r="60" spans="1:22" ht="19.5" customHeight="1" x14ac:dyDescent="0.3">
      <c r="A60" s="42"/>
      <c r="B60" s="44"/>
      <c r="C60" s="44"/>
      <c r="D60" s="47"/>
      <c r="E60" s="46"/>
      <c r="F60" s="47"/>
      <c r="G60" s="46"/>
      <c r="H60" s="47"/>
      <c r="I60" s="57"/>
      <c r="J60" s="58"/>
      <c r="K60" s="58"/>
      <c r="L60" s="58"/>
      <c r="M60" s="58"/>
      <c r="N60" s="58"/>
      <c r="O60" s="58"/>
      <c r="P60" s="58"/>
      <c r="Q60" s="58"/>
    </row>
    <row r="61" spans="1:22" ht="19.5" customHeight="1" x14ac:dyDescent="0.3">
      <c r="A61" s="42"/>
      <c r="B61" s="59" t="s">
        <v>104</v>
      </c>
      <c r="C61" s="59"/>
      <c r="D61" s="59"/>
      <c r="E61" s="59"/>
      <c r="F61" s="59"/>
      <c r="G61" s="59"/>
      <c r="H61" s="59"/>
      <c r="I61" s="61"/>
      <c r="J61" s="62"/>
      <c r="K61" s="62"/>
      <c r="L61" s="62"/>
      <c r="M61" s="62"/>
      <c r="N61" s="62"/>
      <c r="O61" s="62"/>
      <c r="P61" s="62"/>
      <c r="Q61" s="62"/>
    </row>
    <row r="62" spans="1:22" ht="9" customHeight="1" x14ac:dyDescent="0.3">
      <c r="A62" s="42"/>
      <c r="B62" s="63"/>
      <c r="C62" s="63"/>
      <c r="D62" s="65"/>
      <c r="E62" s="49"/>
      <c r="F62" s="66"/>
      <c r="G62" s="48"/>
      <c r="H62" s="66"/>
      <c r="I62" s="48"/>
      <c r="J62" s="49"/>
      <c r="K62" s="49"/>
      <c r="L62" s="49"/>
      <c r="M62" s="49"/>
      <c r="N62" s="49"/>
      <c r="O62" s="49"/>
      <c r="P62" s="49"/>
      <c r="Q62" s="49"/>
    </row>
    <row r="63" spans="1:22" ht="29.1" customHeight="1" x14ac:dyDescent="0.25">
      <c r="A63" s="76" t="s">
        <v>105</v>
      </c>
      <c r="B63" s="77"/>
      <c r="C63" s="187" t="s">
        <v>41</v>
      </c>
      <c r="D63" s="187"/>
      <c r="E63" s="187"/>
      <c r="F63" s="187"/>
      <c r="G63" s="187"/>
      <c r="H63" s="187"/>
      <c r="I63" s="78" t="s">
        <v>42</v>
      </c>
      <c r="J63" s="41" t="s">
        <v>43</v>
      </c>
      <c r="K63" s="41">
        <v>1000</v>
      </c>
      <c r="L63" s="41">
        <v>2000</v>
      </c>
      <c r="M63" s="41">
        <v>3000</v>
      </c>
      <c r="N63" s="41">
        <v>4000</v>
      </c>
      <c r="O63" s="41">
        <v>5000</v>
      </c>
      <c r="P63" s="41">
        <v>6000</v>
      </c>
      <c r="Q63" s="41">
        <v>7000</v>
      </c>
    </row>
    <row r="64" spans="1:22" ht="19.5" customHeight="1" x14ac:dyDescent="0.3">
      <c r="A64" s="42"/>
      <c r="B64" s="44" t="s">
        <v>106</v>
      </c>
      <c r="C64" s="44" t="s">
        <v>45</v>
      </c>
      <c r="D64" s="47" t="s">
        <v>107</v>
      </c>
      <c r="E64" s="46" t="s">
        <v>47</v>
      </c>
      <c r="F64" s="47" t="s">
        <v>108</v>
      </c>
      <c r="G64" s="46" t="s">
        <v>48</v>
      </c>
      <c r="H64" s="47" t="s">
        <v>64</v>
      </c>
      <c r="I64" s="48">
        <v>7.8</v>
      </c>
      <c r="J64" s="49">
        <f>ROUND((2690*$T$1),0)*1.05</f>
        <v>2824.5</v>
      </c>
      <c r="K64" s="49">
        <f>ROUND((2796*$T$1),0)*1.05</f>
        <v>2935.8</v>
      </c>
      <c r="L64" s="49">
        <f>ROUND((2902*$T$1),0)*1.05</f>
        <v>3047.1</v>
      </c>
      <c r="M64" s="49">
        <f>ROUND((3008*$T$1),0)*1.05</f>
        <v>3158.4</v>
      </c>
      <c r="N64" s="49">
        <f>ROUND((3114*$T$1),0)*1.05</f>
        <v>3269.7000000000003</v>
      </c>
      <c r="O64" s="49">
        <f>ROUND((3220*$T$1),0)*1.05</f>
        <v>3381</v>
      </c>
      <c r="P64" s="49">
        <f>ROUND((3326*$T$1),0)*1.05</f>
        <v>3492.3</v>
      </c>
      <c r="Q64" s="49">
        <f>ROUND((3432*$T$1),0)*1.05</f>
        <v>3603.6000000000004</v>
      </c>
    </row>
    <row r="65" spans="1:17" ht="19.5" customHeight="1" x14ac:dyDescent="0.3">
      <c r="A65" s="42"/>
      <c r="B65" s="44" t="s">
        <v>109</v>
      </c>
      <c r="C65" s="44" t="s">
        <v>45</v>
      </c>
      <c r="D65" s="47" t="s">
        <v>110</v>
      </c>
      <c r="E65" s="46" t="s">
        <v>47</v>
      </c>
      <c r="F65" s="47" t="s">
        <v>108</v>
      </c>
      <c r="G65" s="46" t="s">
        <v>48</v>
      </c>
      <c r="H65" s="47" t="s">
        <v>64</v>
      </c>
      <c r="I65" s="48">
        <v>9.1</v>
      </c>
      <c r="J65" s="49">
        <f>ROUND((2726*$T$1),0)*1.05</f>
        <v>2862.3</v>
      </c>
      <c r="K65" s="49">
        <f>ROUND((2832*$T$1),0)*1.05</f>
        <v>2973.6</v>
      </c>
      <c r="L65" s="49">
        <f>ROUND((2938*$T$1),0)*1.05</f>
        <v>3084.9</v>
      </c>
      <c r="M65" s="49">
        <f>ROUND((3044*$T$1),0)*1.05</f>
        <v>3196.2000000000003</v>
      </c>
      <c r="N65" s="49">
        <f>ROUND((3150*$T$1),0)*1.05</f>
        <v>3307.5</v>
      </c>
      <c r="O65" s="49">
        <f>ROUND((3256*$T$1),0)*1.05</f>
        <v>3418.8</v>
      </c>
      <c r="P65" s="49">
        <f>ROUND((3362*$T$1),0)*1.05</f>
        <v>3530.1000000000004</v>
      </c>
      <c r="Q65" s="49">
        <f>ROUND((3468*$T$1),0)*1.05</f>
        <v>3641.4</v>
      </c>
    </row>
    <row r="66" spans="1:17" ht="19.5" customHeight="1" x14ac:dyDescent="0.3">
      <c r="A66" s="42"/>
      <c r="B66" s="44" t="s">
        <v>111</v>
      </c>
      <c r="C66" s="44" t="s">
        <v>45</v>
      </c>
      <c r="D66" s="47" t="s">
        <v>108</v>
      </c>
      <c r="E66" s="46" t="s">
        <v>47</v>
      </c>
      <c r="F66" s="47" t="s">
        <v>108</v>
      </c>
      <c r="G66" s="46" t="s">
        <v>48</v>
      </c>
      <c r="H66" s="47" t="s">
        <v>64</v>
      </c>
      <c r="I66" s="48">
        <v>9.5</v>
      </c>
      <c r="J66" s="49">
        <f>ROUND((2744*$T$1),0)*1.05</f>
        <v>2881.2000000000003</v>
      </c>
      <c r="K66" s="49">
        <f>ROUND((2850*$T$1),0)*1.05</f>
        <v>2992.5</v>
      </c>
      <c r="L66" s="49">
        <f>ROUND((2956*$T$1),0)*1.05</f>
        <v>3103.8</v>
      </c>
      <c r="M66" s="49">
        <f>ROUND((3062*$T$1),0)*1.05</f>
        <v>3215.1</v>
      </c>
      <c r="N66" s="49">
        <f>ROUND((3168*$T$1),0)*1.05</f>
        <v>3326.4</v>
      </c>
      <c r="O66" s="49">
        <f>ROUND((3274*$T$1),0)*1.05</f>
        <v>3437.7000000000003</v>
      </c>
      <c r="P66" s="49">
        <f>ROUND((3380*$T$1),0)*1.05</f>
        <v>3549</v>
      </c>
      <c r="Q66" s="49">
        <f>ROUND((3486*$T$1),0)*1.05</f>
        <v>3660.3</v>
      </c>
    </row>
    <row r="67" spans="1:17" ht="19.5" customHeight="1" x14ac:dyDescent="0.3">
      <c r="A67" s="79" t="s">
        <v>112</v>
      </c>
      <c r="B67" s="44" t="s">
        <v>113</v>
      </c>
      <c r="C67" s="44" t="s">
        <v>45</v>
      </c>
      <c r="D67" s="47" t="s">
        <v>114</v>
      </c>
      <c r="E67" s="46" t="s">
        <v>47</v>
      </c>
      <c r="F67" s="47" t="s">
        <v>108</v>
      </c>
      <c r="G67" s="46" t="s">
        <v>48</v>
      </c>
      <c r="H67" s="47" t="s">
        <v>64</v>
      </c>
      <c r="I67" s="48">
        <v>10</v>
      </c>
      <c r="J67" s="49">
        <f>ROUND((3021*$T$1),0)*1.05</f>
        <v>3172.05</v>
      </c>
      <c r="K67" s="49">
        <f>ROUND((3127*$T$1),0)*1.05</f>
        <v>3283.3500000000004</v>
      </c>
      <c r="L67" s="49">
        <f>ROUND((3233*$T$1),0)*1.05</f>
        <v>3394.65</v>
      </c>
      <c r="M67" s="49">
        <f>ROUND((3339*$T$1),0)*1.05</f>
        <v>3505.9500000000003</v>
      </c>
      <c r="N67" s="49">
        <f>ROUND((3445*$T$1),0)*1.05</f>
        <v>3617.25</v>
      </c>
      <c r="O67" s="49">
        <f>ROUND((3551*$T$1),0)*1.05</f>
        <v>3728.55</v>
      </c>
      <c r="P67" s="49">
        <f>ROUND((3657*$T$1),0)*1.05</f>
        <v>3839.8500000000004</v>
      </c>
      <c r="Q67" s="49">
        <f>ROUND((3763*$T$1),0)*1.05</f>
        <v>3951.15</v>
      </c>
    </row>
    <row r="68" spans="1:17" ht="19.5" customHeight="1" x14ac:dyDescent="0.3">
      <c r="A68" s="42"/>
      <c r="B68" s="44"/>
      <c r="C68" s="44"/>
      <c r="D68" s="47"/>
      <c r="E68" s="46"/>
      <c r="F68" s="47"/>
      <c r="G68" s="46"/>
      <c r="H68" s="47"/>
      <c r="I68" s="48"/>
      <c r="J68" s="49"/>
      <c r="K68" s="49"/>
      <c r="L68" s="49"/>
      <c r="M68" s="49"/>
      <c r="N68" s="49"/>
      <c r="O68" s="49"/>
      <c r="P68" s="49"/>
      <c r="Q68" s="49"/>
    </row>
    <row r="69" spans="1:17" ht="19.5" customHeight="1" x14ac:dyDescent="0.3">
      <c r="A69" s="42"/>
      <c r="B69" s="44" t="s">
        <v>115</v>
      </c>
      <c r="C69" s="44" t="s">
        <v>45</v>
      </c>
      <c r="D69" s="47" t="s">
        <v>66</v>
      </c>
      <c r="E69" s="46" t="s">
        <v>47</v>
      </c>
      <c r="F69" s="47" t="s">
        <v>108</v>
      </c>
      <c r="G69" s="46" t="s">
        <v>48</v>
      </c>
      <c r="H69" s="47" t="s">
        <v>64</v>
      </c>
      <c r="I69" s="57">
        <v>7.6</v>
      </c>
      <c r="J69" s="58">
        <f>ROUND((2528*$T$1),0)*1.05</f>
        <v>2654.4</v>
      </c>
      <c r="K69" s="58">
        <f>ROUND((2634*$T$1),0)*1.05</f>
        <v>2765.7000000000003</v>
      </c>
      <c r="L69" s="58">
        <f>ROUND((2740*$T$1),0)*1.05</f>
        <v>2877</v>
      </c>
      <c r="M69" s="58">
        <f>ROUND((2846*$T$1),0)*1.05</f>
        <v>2988.3</v>
      </c>
      <c r="N69" s="58">
        <f>ROUND((2952*$T$1),0)*1.05</f>
        <v>3099.6</v>
      </c>
      <c r="O69" s="58">
        <f>ROUND((3058*$T$1),0)*1.05</f>
        <v>3210.9</v>
      </c>
      <c r="P69" s="58">
        <f>ROUND((3164*$T$1),0)*1.05</f>
        <v>3322.2000000000003</v>
      </c>
      <c r="Q69" s="58">
        <f>ROUND((3270*$T$1),0)*1.05</f>
        <v>3433.5</v>
      </c>
    </row>
    <row r="70" spans="1:17" ht="19.5" customHeight="1" x14ac:dyDescent="0.3">
      <c r="A70" s="42"/>
      <c r="B70" s="44" t="s">
        <v>116</v>
      </c>
      <c r="C70" s="44" t="s">
        <v>45</v>
      </c>
      <c r="D70" s="47" t="s">
        <v>64</v>
      </c>
      <c r="E70" s="46" t="s">
        <v>47</v>
      </c>
      <c r="F70" s="47" t="s">
        <v>108</v>
      </c>
      <c r="G70" s="46" t="s">
        <v>48</v>
      </c>
      <c r="H70" s="47" t="s">
        <v>64</v>
      </c>
      <c r="I70" s="57">
        <v>8.9</v>
      </c>
      <c r="J70" s="58">
        <f>ROUND((2580*$T$1),0)*1.05</f>
        <v>2709</v>
      </c>
      <c r="K70" s="58">
        <f>ROUND((2686*$T$1),0)*1.05</f>
        <v>2820.3</v>
      </c>
      <c r="L70" s="58">
        <f>ROUND((2792*$T$1),0)*1.05</f>
        <v>2931.6</v>
      </c>
      <c r="M70" s="58">
        <f>ROUND((2898*$T$1),0)*1.05</f>
        <v>3042.9</v>
      </c>
      <c r="N70" s="58">
        <f>ROUND((3004*$T$1),0)*1.05</f>
        <v>3154.2000000000003</v>
      </c>
      <c r="O70" s="58">
        <f>ROUND((3110*$T$1),0)*1.05</f>
        <v>3265.5</v>
      </c>
      <c r="P70" s="58">
        <f>ROUND((3216*$T$1),0)*1.05</f>
        <v>3376.8</v>
      </c>
      <c r="Q70" s="58">
        <f>ROUND((3322*$T$1),0)*1.05</f>
        <v>3488.1000000000004</v>
      </c>
    </row>
    <row r="71" spans="1:17" ht="19.5" customHeight="1" x14ac:dyDescent="0.3">
      <c r="A71" s="42"/>
      <c r="B71" s="44"/>
      <c r="C71" s="44"/>
      <c r="D71" s="47"/>
      <c r="E71" s="46"/>
      <c r="F71" s="47"/>
      <c r="G71" s="46"/>
      <c r="H71" s="47"/>
      <c r="I71" s="57"/>
      <c r="J71" s="58"/>
      <c r="K71" s="58"/>
      <c r="L71" s="58"/>
      <c r="M71" s="58"/>
      <c r="N71" s="58"/>
      <c r="O71" s="58"/>
      <c r="P71" s="58"/>
      <c r="Q71" s="58"/>
    </row>
    <row r="72" spans="1:17" ht="19.5" customHeight="1" x14ac:dyDescent="0.3">
      <c r="A72" s="42"/>
      <c r="B72" s="59" t="s">
        <v>117</v>
      </c>
      <c r="C72" s="59"/>
      <c r="D72" s="59" t="s">
        <v>118</v>
      </c>
      <c r="E72" s="59"/>
      <c r="F72" s="59"/>
      <c r="G72" s="59"/>
      <c r="H72" s="59"/>
      <c r="I72" s="61"/>
      <c r="J72" s="62"/>
      <c r="K72" s="62"/>
      <c r="L72" s="62"/>
      <c r="M72" s="62"/>
      <c r="N72" s="62"/>
      <c r="O72" s="62"/>
      <c r="P72" s="62"/>
      <c r="Q72" s="62"/>
    </row>
    <row r="73" spans="1:17" ht="9" customHeight="1" x14ac:dyDescent="0.3">
      <c r="A73" s="42"/>
      <c r="B73" s="63"/>
      <c r="C73" s="63"/>
      <c r="D73" s="65"/>
      <c r="E73" s="49"/>
      <c r="F73" s="66"/>
      <c r="G73" s="48"/>
      <c r="H73" s="66"/>
      <c r="I73" s="48"/>
      <c r="J73" s="49"/>
      <c r="K73" s="49"/>
      <c r="L73" s="49"/>
      <c r="M73" s="49"/>
      <c r="N73" s="49"/>
      <c r="O73" s="49"/>
      <c r="P73" s="49"/>
      <c r="Q73" s="49"/>
    </row>
    <row r="74" spans="1:17" ht="15" customHeight="1" x14ac:dyDescent="0.3">
      <c r="A74" s="67"/>
      <c r="B74" s="80"/>
      <c r="C74" s="69"/>
      <c r="D74" s="70"/>
      <c r="E74" s="71"/>
      <c r="F74" s="72"/>
      <c r="G74" s="73"/>
      <c r="H74" s="72"/>
      <c r="I74" s="74"/>
      <c r="J74" s="75"/>
      <c r="K74" s="75"/>
      <c r="L74" s="75"/>
      <c r="M74" s="75"/>
      <c r="N74" s="75"/>
      <c r="O74" s="75"/>
      <c r="P74" s="75"/>
      <c r="Q74" s="75"/>
    </row>
    <row r="75" spans="1:17" ht="29.1" customHeight="1" x14ac:dyDescent="0.25">
      <c r="A75" s="81" t="s">
        <v>119</v>
      </c>
      <c r="B75" s="77"/>
      <c r="C75" s="187" t="s">
        <v>41</v>
      </c>
      <c r="D75" s="187"/>
      <c r="E75" s="187"/>
      <c r="F75" s="187"/>
      <c r="G75" s="187"/>
      <c r="H75" s="187"/>
      <c r="I75" s="78" t="s">
        <v>42</v>
      </c>
      <c r="J75" s="41" t="s">
        <v>43</v>
      </c>
      <c r="K75" s="41">
        <v>1000</v>
      </c>
      <c r="L75" s="41">
        <v>2000</v>
      </c>
      <c r="M75" s="41">
        <v>3000</v>
      </c>
      <c r="N75" s="41">
        <v>4000</v>
      </c>
      <c r="O75" s="41">
        <v>5000</v>
      </c>
      <c r="P75" s="41">
        <v>6000</v>
      </c>
      <c r="Q75" s="41">
        <v>7000</v>
      </c>
    </row>
    <row r="76" spans="1:17" ht="19.5" customHeight="1" x14ac:dyDescent="0.3">
      <c r="A76" s="42"/>
      <c r="B76" s="43" t="s">
        <v>120</v>
      </c>
      <c r="C76" s="44" t="s">
        <v>45</v>
      </c>
      <c r="D76" s="45" t="s">
        <v>121</v>
      </c>
      <c r="E76" s="46" t="s">
        <v>47</v>
      </c>
      <c r="F76" s="47">
        <v>1.03</v>
      </c>
      <c r="G76" s="46" t="s">
        <v>48</v>
      </c>
      <c r="H76" s="47">
        <v>0.82</v>
      </c>
      <c r="I76" s="57">
        <v>8</v>
      </c>
      <c r="J76" s="58">
        <f>ROUND((2760*$T$1),0)*1.05</f>
        <v>2898</v>
      </c>
      <c r="K76" s="58">
        <f>ROUND((3067*$T$1),0)*1.05</f>
        <v>3220.35</v>
      </c>
      <c r="L76" s="58">
        <f>ROUND((3115*$T$1),0)*1.05</f>
        <v>3270.75</v>
      </c>
      <c r="M76" s="58">
        <f>ROUND((3171*$T$1),0)*1.05</f>
        <v>3329.55</v>
      </c>
      <c r="N76" s="58">
        <f>ROUND((3226*$T$1),0)*1.05</f>
        <v>3387.3</v>
      </c>
      <c r="O76" s="58">
        <f>ROUND((3259*$T$1),0)*1.05</f>
        <v>3421.9500000000003</v>
      </c>
      <c r="P76" s="58">
        <f>ROUND((3359*$T$1),0)*1.05</f>
        <v>3526.9500000000003</v>
      </c>
      <c r="Q76" s="58">
        <f>ROUND((3525*$T$1),0)*1.05</f>
        <v>3701.25</v>
      </c>
    </row>
    <row r="77" spans="1:17" ht="19.5" customHeight="1" x14ac:dyDescent="0.3">
      <c r="A77" s="42"/>
      <c r="B77" s="43" t="s">
        <v>122</v>
      </c>
      <c r="C77" s="44" t="s">
        <v>45</v>
      </c>
      <c r="D77" s="45" t="s">
        <v>107</v>
      </c>
      <c r="E77" s="46" t="s">
        <v>47</v>
      </c>
      <c r="F77" s="47">
        <v>1.03</v>
      </c>
      <c r="G77" s="46" t="s">
        <v>48</v>
      </c>
      <c r="H77" s="47">
        <v>0.82</v>
      </c>
      <c r="I77" s="57">
        <v>6</v>
      </c>
      <c r="J77" s="58">
        <f>ROUND((2039*$T$1),0)*1.05</f>
        <v>2140.9500000000003</v>
      </c>
      <c r="K77" s="58">
        <f>ROUND((2266*$T$1),0)*1.05</f>
        <v>2379.3000000000002</v>
      </c>
      <c r="L77" s="58">
        <f>ROUND((2302*$T$1),0)*1.05</f>
        <v>2417.1</v>
      </c>
      <c r="M77" s="58">
        <f>ROUND((2344*$T$1),0)*1.05</f>
        <v>2461.2000000000003</v>
      </c>
      <c r="N77" s="58">
        <f>ROUND((2386*$T$1),0)*1.05</f>
        <v>2505.3000000000002</v>
      </c>
      <c r="O77" s="58">
        <f>ROUND((2412*$T$1),0)*1.05</f>
        <v>2532.6</v>
      </c>
      <c r="P77" s="58">
        <f>ROUND((2487*$T$1),0)*1.05</f>
        <v>2611.35</v>
      </c>
      <c r="Q77" s="58">
        <f>ROUND((2614*$T$1),0)*1.05</f>
        <v>2744.7000000000003</v>
      </c>
    </row>
    <row r="78" spans="1:17" ht="19.5" customHeight="1" x14ac:dyDescent="0.3">
      <c r="A78" s="42"/>
      <c r="B78" s="43" t="s">
        <v>35</v>
      </c>
      <c r="C78" s="44" t="s">
        <v>45</v>
      </c>
      <c r="D78" s="45" t="s">
        <v>56</v>
      </c>
      <c r="E78" s="46" t="s">
        <v>47</v>
      </c>
      <c r="F78" s="47">
        <v>1.03</v>
      </c>
      <c r="G78" s="46" t="s">
        <v>48</v>
      </c>
      <c r="H78" s="47">
        <v>0.82</v>
      </c>
      <c r="I78" s="57">
        <v>7</v>
      </c>
      <c r="J78" s="58">
        <f>ROUND((2329*$T$1),0)*1.05</f>
        <v>2445.4500000000003</v>
      </c>
      <c r="K78" s="58">
        <f>ROUND((2588*$T$1),0)*1.05</f>
        <v>2717.4</v>
      </c>
      <c r="L78" s="58">
        <f>ROUND((2630*$T$1),0)*1.05</f>
        <v>2761.5</v>
      </c>
      <c r="M78" s="58">
        <f>ROUND((2680*$T$1),0)*1.05</f>
        <v>2814</v>
      </c>
      <c r="N78" s="58">
        <f>ROUND((2728*$T$1),0)*1.05</f>
        <v>2864.4</v>
      </c>
      <c r="O78" s="58">
        <f>ROUND((2758*$T$1),0)*1.05</f>
        <v>2895.9</v>
      </c>
      <c r="P78" s="58">
        <f>ROUND((2846*$T$1),0)*1.05</f>
        <v>2988.3</v>
      </c>
      <c r="Q78" s="58">
        <f>ROUND((2992*$T$1),0)*1.05</f>
        <v>3141.6</v>
      </c>
    </row>
    <row r="79" spans="1:17" ht="19.5" customHeight="1" x14ac:dyDescent="0.3">
      <c r="A79" s="42"/>
      <c r="B79" s="43" t="s">
        <v>98</v>
      </c>
      <c r="C79" s="44" t="s">
        <v>45</v>
      </c>
      <c r="D79" s="45" t="s">
        <v>107</v>
      </c>
      <c r="E79" s="46" t="s">
        <v>47</v>
      </c>
      <c r="F79" s="47">
        <v>1.03</v>
      </c>
      <c r="G79" s="46" t="s">
        <v>48</v>
      </c>
      <c r="H79" s="47">
        <v>0.45</v>
      </c>
      <c r="I79" s="57">
        <v>4</v>
      </c>
      <c r="J79" s="58">
        <f>ROUND((1493*$T$1),0)*1.05</f>
        <v>1567.65</v>
      </c>
      <c r="K79" s="58">
        <f>ROUND((1658*$T$1),0)*1.05</f>
        <v>1740.9</v>
      </c>
      <c r="L79" s="58">
        <f>ROUND((1679*$T$1),0)*1.05</f>
        <v>1762.95</v>
      </c>
      <c r="M79" s="58">
        <f>ROUND((1703*$T$1),0)*1.05</f>
        <v>1788.15</v>
      </c>
      <c r="N79" s="58">
        <f>ROUND((1726*$T$1),0)*1.05</f>
        <v>1812.3000000000002</v>
      </c>
      <c r="O79" s="58">
        <f>ROUND((1740*$T$1),0)*1.05</f>
        <v>1827</v>
      </c>
      <c r="P79" s="58">
        <f>ROUND((1783*$T$1),0)*1.05</f>
        <v>1872.15</v>
      </c>
      <c r="Q79" s="58">
        <f>ROUND((1854*$T$1),0)*1.05</f>
        <v>1946.7</v>
      </c>
    </row>
    <row r="80" spans="1:17" ht="19.5" customHeight="1" x14ac:dyDescent="0.3">
      <c r="A80" s="42"/>
      <c r="B80" s="43"/>
      <c r="C80" s="63"/>
      <c r="D80" s="63"/>
      <c r="E80" s="63"/>
      <c r="F80" s="63"/>
      <c r="G80" s="63"/>
      <c r="H80" s="63"/>
      <c r="I80" s="63"/>
      <c r="J80" s="82"/>
      <c r="K80" s="82"/>
      <c r="L80" s="82"/>
      <c r="M80" s="82"/>
      <c r="N80" s="82"/>
      <c r="O80" s="82"/>
      <c r="P80" s="82"/>
      <c r="Q80" s="82"/>
    </row>
    <row r="81" spans="1:17" ht="19.5" customHeight="1" x14ac:dyDescent="0.35">
      <c r="A81" s="42"/>
      <c r="B81" s="83" t="s">
        <v>123</v>
      </c>
      <c r="C81" s="44"/>
      <c r="D81" s="47"/>
      <c r="E81" s="46"/>
      <c r="F81" s="47"/>
      <c r="G81" s="46"/>
      <c r="H81" s="47"/>
      <c r="I81" s="57"/>
      <c r="J81" s="58"/>
      <c r="K81" s="58"/>
      <c r="L81" s="58"/>
      <c r="M81" s="58"/>
      <c r="N81" s="58"/>
      <c r="O81" s="58"/>
      <c r="P81" s="58"/>
      <c r="Q81" s="58"/>
    </row>
    <row r="82" spans="1:17" ht="19.5" customHeight="1" x14ac:dyDescent="0.3">
      <c r="A82" s="42"/>
      <c r="B82" s="44"/>
      <c r="C82" s="44"/>
      <c r="D82" s="47"/>
      <c r="E82" s="46"/>
      <c r="F82" s="47"/>
      <c r="G82" s="46"/>
      <c r="H82" s="47"/>
      <c r="I82" s="57"/>
      <c r="J82" s="58"/>
      <c r="K82" s="58"/>
      <c r="L82" s="58"/>
      <c r="M82" s="58"/>
      <c r="N82" s="58"/>
      <c r="O82" s="58"/>
      <c r="P82" s="58"/>
      <c r="Q82" s="58"/>
    </row>
    <row r="83" spans="1:17" ht="19.5" customHeight="1" x14ac:dyDescent="0.3">
      <c r="A83" s="42"/>
      <c r="B83" s="59" t="s">
        <v>124</v>
      </c>
      <c r="C83" s="60"/>
      <c r="D83" s="59"/>
      <c r="E83" s="59"/>
      <c r="F83" s="59"/>
      <c r="G83" s="59"/>
      <c r="H83" s="59"/>
      <c r="I83" s="61"/>
      <c r="J83" s="62"/>
      <c r="K83" s="62"/>
      <c r="L83" s="62"/>
      <c r="M83" s="62"/>
      <c r="N83" s="62"/>
      <c r="O83" s="62"/>
      <c r="P83" s="62"/>
      <c r="Q83" s="62"/>
    </row>
    <row r="84" spans="1:17" ht="19.5" customHeight="1" x14ac:dyDescent="0.3">
      <c r="A84" s="67"/>
      <c r="B84" s="68"/>
      <c r="C84" s="84"/>
      <c r="D84" s="72"/>
      <c r="E84" s="73"/>
      <c r="F84" s="72"/>
      <c r="G84" s="73"/>
      <c r="H84" s="72"/>
      <c r="I84" s="74"/>
      <c r="J84" s="75"/>
      <c r="K84" s="75"/>
      <c r="L84" s="75"/>
      <c r="M84" s="75"/>
      <c r="N84" s="75"/>
      <c r="O84" s="75"/>
      <c r="P84" s="75"/>
      <c r="Q84" s="75"/>
    </row>
    <row r="85" spans="1:17" ht="31.5" customHeight="1" x14ac:dyDescent="0.25">
      <c r="A85" s="81" t="s">
        <v>125</v>
      </c>
      <c r="B85" s="77"/>
      <c r="C85" s="187" t="s">
        <v>41</v>
      </c>
      <c r="D85" s="187"/>
      <c r="E85" s="187"/>
      <c r="F85" s="187"/>
      <c r="G85" s="187"/>
      <c r="H85" s="187"/>
      <c r="I85" s="78" t="s">
        <v>42</v>
      </c>
      <c r="J85" s="41" t="s">
        <v>43</v>
      </c>
      <c r="K85" s="41">
        <v>1000</v>
      </c>
      <c r="L85" s="41">
        <v>2000</v>
      </c>
      <c r="M85" s="41">
        <v>3000</v>
      </c>
      <c r="N85" s="41">
        <v>4000</v>
      </c>
      <c r="O85" s="41">
        <v>5000</v>
      </c>
      <c r="P85" s="41">
        <v>6000</v>
      </c>
      <c r="Q85" s="41">
        <v>7000</v>
      </c>
    </row>
    <row r="86" spans="1:17" ht="19.5" customHeight="1" x14ac:dyDescent="0.3">
      <c r="A86" s="42"/>
      <c r="B86" s="50" t="s">
        <v>126</v>
      </c>
      <c r="C86" s="51" t="s">
        <v>45</v>
      </c>
      <c r="D86" s="52" t="s">
        <v>121</v>
      </c>
      <c r="E86" s="53" t="s">
        <v>47</v>
      </c>
      <c r="F86" s="54">
        <v>0.96</v>
      </c>
      <c r="G86" s="53" t="s">
        <v>48</v>
      </c>
      <c r="H86" s="54">
        <v>0.87</v>
      </c>
      <c r="I86" s="55">
        <v>11</v>
      </c>
      <c r="J86" s="56">
        <f>ROUND((3911*$T$1),0)*1.05</f>
        <v>4106.55</v>
      </c>
      <c r="K86" s="56">
        <f>ROUND((4346*$T$1),0)*1.05</f>
        <v>4563.3</v>
      </c>
      <c r="L86" s="56">
        <f>ROUND((4407*$T$1),0)*1.05</f>
        <v>4627.3500000000004</v>
      </c>
      <c r="M86" s="56">
        <f>ROUND((4476*$T$1),0)*1.05</f>
        <v>4699.8</v>
      </c>
      <c r="N86" s="56">
        <f>ROUND((4547*$T$1),0)*1.05</f>
        <v>4774.3500000000004</v>
      </c>
      <c r="O86" s="56">
        <f>ROUND((4590*$T$1),0)*1.05</f>
        <v>4819.5</v>
      </c>
      <c r="P86" s="56">
        <f>ROUND((4716*$T$1),0)*1.05</f>
        <v>4951.8</v>
      </c>
      <c r="Q86" s="56">
        <f>ROUND((4925*$T$1),0)*1.05</f>
        <v>5171.25</v>
      </c>
    </row>
    <row r="87" spans="1:17" ht="19.5" customHeight="1" x14ac:dyDescent="0.3">
      <c r="A87" s="42"/>
      <c r="B87" s="50" t="s">
        <v>127</v>
      </c>
      <c r="C87" s="51" t="s">
        <v>45</v>
      </c>
      <c r="D87" s="52" t="s">
        <v>128</v>
      </c>
      <c r="E87" s="53" t="s">
        <v>47</v>
      </c>
      <c r="F87" s="54">
        <v>0.96</v>
      </c>
      <c r="G87" s="53" t="s">
        <v>48</v>
      </c>
      <c r="H87" s="54">
        <v>0.87</v>
      </c>
      <c r="I87" s="55">
        <v>10</v>
      </c>
      <c r="J87" s="56">
        <f>ROUND((3677*$T$1),0)*1.05</f>
        <v>3860.8500000000004</v>
      </c>
      <c r="K87" s="56">
        <f>ROUND((4086*$T$1),0)*1.05</f>
        <v>4290.3</v>
      </c>
      <c r="L87" s="56">
        <f>ROUND((4142*$T$1),0)*1.05</f>
        <v>4349.1000000000004</v>
      </c>
      <c r="M87" s="56">
        <f>ROUND((4208*$T$1),0)*1.05</f>
        <v>4418.4000000000005</v>
      </c>
      <c r="N87" s="56">
        <f>ROUND((4275*$T$1),0)*1.05</f>
        <v>4488.75</v>
      </c>
      <c r="O87" s="56">
        <f>ROUND((4315*$T$1),0)*1.05</f>
        <v>4530.75</v>
      </c>
      <c r="P87" s="56">
        <f>ROUND((4433*$T$1),0)*1.05</f>
        <v>4654.6500000000005</v>
      </c>
      <c r="Q87" s="56">
        <f>ROUND((4630*$T$1),0)*1.05</f>
        <v>4861.5</v>
      </c>
    </row>
    <row r="88" spans="1:17" ht="19.5" customHeight="1" x14ac:dyDescent="0.3">
      <c r="A88" s="42"/>
      <c r="B88" s="50" t="s">
        <v>129</v>
      </c>
      <c r="C88" s="51" t="s">
        <v>45</v>
      </c>
      <c r="D88" s="52" t="s">
        <v>130</v>
      </c>
      <c r="E88" s="53" t="s">
        <v>47</v>
      </c>
      <c r="F88" s="54">
        <v>0.96</v>
      </c>
      <c r="G88" s="53" t="s">
        <v>48</v>
      </c>
      <c r="H88" s="54">
        <v>0.87</v>
      </c>
      <c r="I88" s="55">
        <v>9</v>
      </c>
      <c r="J88" s="56">
        <f>ROUND((3456*$T$1),0)*1.05</f>
        <v>3628.8</v>
      </c>
      <c r="K88" s="56">
        <f>ROUND((3840*$T$1),0)*1.05</f>
        <v>4032</v>
      </c>
      <c r="L88" s="56">
        <f>ROUND((3894*$T$1),0)*1.05</f>
        <v>4088.7000000000003</v>
      </c>
      <c r="M88" s="56">
        <f>ROUND((3955*$T$1),0)*1.05</f>
        <v>4152.75</v>
      </c>
      <c r="N88" s="56">
        <f>ROUND((4018*$T$1),0)*1.05</f>
        <v>4218.9000000000005</v>
      </c>
      <c r="O88" s="56">
        <f>ROUND((4056*$T$1),0)*1.05</f>
        <v>4258.8</v>
      </c>
      <c r="P88" s="56">
        <f>ROUND((4166*$T$1),0)*1.05</f>
        <v>4374.3</v>
      </c>
      <c r="Q88" s="56">
        <f>ROUND((4352*$T$1),0)*1.05</f>
        <v>4569.6000000000004</v>
      </c>
    </row>
    <row r="89" spans="1:17" ht="19.5" customHeight="1" x14ac:dyDescent="0.3">
      <c r="A89" s="42"/>
      <c r="B89" s="50" t="s">
        <v>131</v>
      </c>
      <c r="C89" s="51" t="s">
        <v>45</v>
      </c>
      <c r="D89" s="52" t="s">
        <v>114</v>
      </c>
      <c r="E89" s="53" t="s">
        <v>47</v>
      </c>
      <c r="F89" s="54">
        <v>0.96</v>
      </c>
      <c r="G89" s="53" t="s">
        <v>48</v>
      </c>
      <c r="H89" s="54">
        <v>0.87</v>
      </c>
      <c r="I89" s="55">
        <v>8</v>
      </c>
      <c r="J89" s="56">
        <f>ROUND((3349*$T$1),0)*1.05</f>
        <v>3516.4500000000003</v>
      </c>
      <c r="K89" s="56">
        <f>ROUND((3610*$T$1),0)*1.05</f>
        <v>3790.5</v>
      </c>
      <c r="L89" s="56">
        <f>ROUND((3660*$T$1),0)*1.05</f>
        <v>3843</v>
      </c>
      <c r="M89" s="56">
        <f>ROUND((3718*$T$1),0)*1.05</f>
        <v>3903.9</v>
      </c>
      <c r="N89" s="56">
        <f>ROUND((3777*$T$1),0)*1.05</f>
        <v>3965.8500000000004</v>
      </c>
      <c r="O89" s="56">
        <f>ROUND((3812*$T$1),0)*1.05</f>
        <v>4002.6000000000004</v>
      </c>
      <c r="P89" s="56">
        <f>ROUND((3917*$T$1),0)*1.05</f>
        <v>4112.8500000000004</v>
      </c>
      <c r="Q89" s="56">
        <f>ROUND((4091*$T$1),0)*1.05</f>
        <v>4295.55</v>
      </c>
    </row>
    <row r="90" spans="1:17" ht="19.5" customHeight="1" x14ac:dyDescent="0.3">
      <c r="A90" s="42"/>
      <c r="B90" s="50"/>
      <c r="C90" s="51"/>
      <c r="D90" s="52"/>
      <c r="E90" s="53"/>
      <c r="F90" s="54"/>
      <c r="G90" s="53"/>
      <c r="H90" s="54"/>
      <c r="I90" s="55"/>
      <c r="J90" s="56"/>
      <c r="K90" s="56"/>
      <c r="L90" s="56"/>
      <c r="M90" s="56"/>
      <c r="N90" s="56"/>
      <c r="O90" s="56"/>
      <c r="P90" s="56"/>
      <c r="Q90" s="56"/>
    </row>
    <row r="91" spans="1:17" ht="19.5" customHeight="1" x14ac:dyDescent="0.3">
      <c r="A91" s="42"/>
      <c r="B91" s="50" t="s">
        <v>132</v>
      </c>
      <c r="C91" s="51" t="s">
        <v>45</v>
      </c>
      <c r="D91" s="52" t="s">
        <v>58</v>
      </c>
      <c r="E91" s="53" t="s">
        <v>47</v>
      </c>
      <c r="F91" s="54">
        <v>0.96</v>
      </c>
      <c r="G91" s="53" t="s">
        <v>48</v>
      </c>
      <c r="H91" s="54">
        <v>0.87</v>
      </c>
      <c r="I91" s="55">
        <v>9</v>
      </c>
      <c r="J91" s="56">
        <f>ROUND((3306*$T$1),0)*1.05</f>
        <v>3471.3</v>
      </c>
      <c r="K91" s="56">
        <f>ROUND((3673*$T$1),0)*1.05</f>
        <v>3856.65</v>
      </c>
      <c r="L91" s="56">
        <f>ROUND((3718*$T$1),0)*1.05</f>
        <v>3903.9</v>
      </c>
      <c r="M91" s="56">
        <f>ROUND((3267*$T$1),0)*1.05</f>
        <v>3430.3500000000004</v>
      </c>
      <c r="N91" s="56">
        <f>ROUND((3819*$T$1),0)*1.05</f>
        <v>4009.9500000000003</v>
      </c>
      <c r="O91" s="56">
        <f>ROUND((3849*$T$1),0)*1.05</f>
        <v>4041.4500000000003</v>
      </c>
      <c r="P91" s="56">
        <f>ROUND((3941*$T$1),0)*1.05</f>
        <v>4138.05</v>
      </c>
      <c r="Q91" s="56">
        <f>ROUND((4093*$T$1),0)*1.05</f>
        <v>4297.6500000000005</v>
      </c>
    </row>
    <row r="92" spans="1:17" ht="19.5" customHeight="1" x14ac:dyDescent="0.3">
      <c r="A92" s="42"/>
      <c r="B92" s="50" t="s">
        <v>132</v>
      </c>
      <c r="C92" s="51" t="s">
        <v>45</v>
      </c>
      <c r="D92" s="52" t="s">
        <v>60</v>
      </c>
      <c r="E92" s="53" t="s">
        <v>47</v>
      </c>
      <c r="F92" s="54">
        <v>0.96</v>
      </c>
      <c r="G92" s="53" t="s">
        <v>48</v>
      </c>
      <c r="H92" s="54">
        <v>0.87</v>
      </c>
      <c r="I92" s="55">
        <v>8</v>
      </c>
      <c r="J92" s="56">
        <f>ROUND((3107*$T$1),0)*1.05</f>
        <v>3262.3500000000004</v>
      </c>
      <c r="K92" s="56">
        <f>ROUND((3452*$T$1),0)*1.05</f>
        <v>3624.6000000000004</v>
      </c>
      <c r="L92" s="56">
        <f>ROUND((3495*$T$1),0)*1.05</f>
        <v>3669.75</v>
      </c>
      <c r="M92" s="56">
        <f>ROUND((3541*$T$1),0)*1.05</f>
        <v>3718.05</v>
      </c>
      <c r="N92" s="56">
        <f>ROUND((3589*$T$1),0)*1.05</f>
        <v>3768.4500000000003</v>
      </c>
      <c r="O92" s="56">
        <f>ROUND((3618*$T$1),0)*1.05</f>
        <v>3798.9</v>
      </c>
      <c r="P92" s="56">
        <f>ROUND((3704*$T$1),0)*1.05</f>
        <v>3889.2000000000003</v>
      </c>
      <c r="Q92" s="56">
        <f>ROUND((3847*$T$1),0)*1.05</f>
        <v>4039.3500000000004</v>
      </c>
    </row>
    <row r="93" spans="1:17" ht="19.5" customHeight="1" x14ac:dyDescent="0.3">
      <c r="A93" s="42"/>
      <c r="B93" s="50" t="s">
        <v>132</v>
      </c>
      <c r="C93" s="51" t="s">
        <v>45</v>
      </c>
      <c r="D93" s="52" t="s">
        <v>62</v>
      </c>
      <c r="E93" s="53" t="s">
        <v>47</v>
      </c>
      <c r="F93" s="54">
        <v>0.96</v>
      </c>
      <c r="G93" s="53" t="s">
        <v>48</v>
      </c>
      <c r="H93" s="54">
        <v>0.87</v>
      </c>
      <c r="I93" s="55">
        <v>7</v>
      </c>
      <c r="J93" s="56">
        <f>ROUND((2921*$T$1),0)*1.05</f>
        <v>3067.05</v>
      </c>
      <c r="K93" s="56">
        <f>ROUND((3245*$T$1),0)*1.05</f>
        <v>3407.25</v>
      </c>
      <c r="L93" s="56">
        <f>ROUND((3284*$T$1),0)*1.05</f>
        <v>3448.2000000000003</v>
      </c>
      <c r="M93" s="56">
        <f>ROUND((3329*$T$1),0)*1.05</f>
        <v>3495.4500000000003</v>
      </c>
      <c r="N93" s="56">
        <f>ROUND((3374*$T$1),0)*1.05</f>
        <v>3542.7000000000003</v>
      </c>
      <c r="O93" s="56">
        <f>ROUND((3401*$T$1),0)*1.05</f>
        <v>3571.05</v>
      </c>
      <c r="P93" s="56">
        <f>ROUND((3482*$T$1),0)*1.05</f>
        <v>3656.1000000000004</v>
      </c>
      <c r="Q93" s="56">
        <f>ROUND((3617*$T$1),0)*1.05</f>
        <v>3797.8500000000004</v>
      </c>
    </row>
    <row r="94" spans="1:17" ht="19.5" customHeight="1" x14ac:dyDescent="0.3">
      <c r="A94" s="42"/>
      <c r="B94" s="50" t="s">
        <v>132</v>
      </c>
      <c r="C94" s="51" t="s">
        <v>45</v>
      </c>
      <c r="D94" s="52" t="s">
        <v>64</v>
      </c>
      <c r="E94" s="53" t="s">
        <v>47</v>
      </c>
      <c r="F94" s="54">
        <v>0.96</v>
      </c>
      <c r="G94" s="53" t="s">
        <v>48</v>
      </c>
      <c r="H94" s="54">
        <v>0.87</v>
      </c>
      <c r="I94" s="55">
        <v>6</v>
      </c>
      <c r="J94" s="56">
        <f>ROUND((2746*$T$1),0)*1.05</f>
        <v>2883.3</v>
      </c>
      <c r="K94" s="56">
        <f>ROUND((3051*$T$1),0)*1.05</f>
        <v>3203.55</v>
      </c>
      <c r="L94" s="56">
        <f>ROUND((3088*$T$1),0)*1.05</f>
        <v>3242.4</v>
      </c>
      <c r="M94" s="56">
        <f>ROUND((3129*$T$1),0)*1.05</f>
        <v>3285.4500000000003</v>
      </c>
      <c r="N94" s="56">
        <f>ROUND((3172*$T$1),0)*1.05</f>
        <v>3330.6000000000004</v>
      </c>
      <c r="O94" s="56">
        <f>ROUND((3197*$T$1),0)*1.05</f>
        <v>3356.8500000000004</v>
      </c>
      <c r="P94" s="56">
        <f>ROUND((3273*$T$1),0)*1.05</f>
        <v>3436.65</v>
      </c>
      <c r="Q94" s="56">
        <f>ROUND((3399*$T$1),0)*1.05</f>
        <v>3568.9500000000003</v>
      </c>
    </row>
    <row r="95" spans="1:17" ht="19.5" customHeight="1" x14ac:dyDescent="0.3">
      <c r="A95" s="42"/>
      <c r="B95" s="50"/>
      <c r="C95" s="51"/>
      <c r="D95" s="52"/>
      <c r="E95" s="53"/>
      <c r="F95" s="54"/>
      <c r="G95" s="53"/>
      <c r="H95" s="54"/>
      <c r="I95" s="55"/>
      <c r="J95" s="56"/>
      <c r="K95" s="56"/>
      <c r="L95" s="56"/>
      <c r="M95" s="56"/>
      <c r="N95" s="56"/>
      <c r="O95" s="56"/>
      <c r="P95" s="56"/>
      <c r="Q95" s="56"/>
    </row>
    <row r="96" spans="1:17" ht="19.5" customHeight="1" x14ac:dyDescent="0.3">
      <c r="A96" s="42"/>
      <c r="B96" s="85" t="s">
        <v>133</v>
      </c>
      <c r="C96" s="51"/>
      <c r="D96" s="52"/>
      <c r="E96" s="53"/>
      <c r="F96" s="54"/>
      <c r="G96" s="53"/>
      <c r="H96" s="54"/>
      <c r="I96" s="55"/>
      <c r="J96" s="56"/>
      <c r="K96" s="56"/>
      <c r="L96" s="56"/>
      <c r="M96" s="56"/>
      <c r="N96" s="56"/>
      <c r="O96" s="56"/>
      <c r="P96" s="56"/>
      <c r="Q96" s="56"/>
    </row>
    <row r="97" spans="1:17" ht="19.5" customHeight="1" x14ac:dyDescent="0.3">
      <c r="A97" s="42"/>
      <c r="B97" s="86"/>
      <c r="C97" s="51"/>
      <c r="D97" s="52"/>
      <c r="E97" s="53"/>
      <c r="F97" s="54"/>
      <c r="G97" s="53"/>
      <c r="H97" s="54"/>
      <c r="I97" s="55"/>
      <c r="J97" s="56"/>
      <c r="K97" s="56"/>
      <c r="L97" s="56"/>
      <c r="M97" s="87" t="s">
        <v>134</v>
      </c>
      <c r="N97" s="56"/>
      <c r="O97" s="56"/>
      <c r="P97" s="56"/>
      <c r="Q97" s="56"/>
    </row>
    <row r="98" spans="1:17" ht="19.5" customHeight="1" x14ac:dyDescent="0.3">
      <c r="A98" s="42"/>
      <c r="B98" s="85" t="s">
        <v>135</v>
      </c>
      <c r="C98" s="51"/>
      <c r="D98" s="52"/>
      <c r="E98" s="53"/>
      <c r="F98" s="54"/>
      <c r="G98" s="53"/>
      <c r="H98" s="54"/>
      <c r="I98" s="55"/>
      <c r="J98" s="56"/>
      <c r="K98" s="56"/>
      <c r="L98" s="56"/>
      <c r="M98" s="56"/>
      <c r="N98" s="56"/>
      <c r="O98" s="56"/>
      <c r="P98" s="56"/>
      <c r="Q98" s="56"/>
    </row>
    <row r="99" spans="1:17" ht="19.5" customHeight="1" x14ac:dyDescent="0.3">
      <c r="A99" s="42"/>
      <c r="B99" s="63"/>
      <c r="C99" s="64"/>
      <c r="D99" s="65"/>
      <c r="E99" s="49"/>
      <c r="F99" s="66"/>
      <c r="G99" s="48"/>
      <c r="H99" s="66"/>
      <c r="I99" s="48"/>
      <c r="J99" s="49"/>
      <c r="K99" s="49"/>
      <c r="L99" s="49"/>
      <c r="M99" s="49"/>
      <c r="N99" s="49"/>
      <c r="O99" s="49"/>
      <c r="P99" s="49"/>
      <c r="Q99" s="49"/>
    </row>
    <row r="100" spans="1:17" ht="29.1" customHeight="1" x14ac:dyDescent="0.25">
      <c r="A100" s="81" t="s">
        <v>136</v>
      </c>
      <c r="B100" s="77"/>
      <c r="C100" s="187" t="s">
        <v>41</v>
      </c>
      <c r="D100" s="187"/>
      <c r="E100" s="187"/>
      <c r="F100" s="187"/>
      <c r="G100" s="187"/>
      <c r="H100" s="187"/>
      <c r="I100" s="78" t="s">
        <v>42</v>
      </c>
      <c r="J100" s="41" t="s">
        <v>43</v>
      </c>
      <c r="K100" s="41">
        <v>1000</v>
      </c>
      <c r="L100" s="41">
        <v>2000</v>
      </c>
      <c r="M100" s="41">
        <v>3000</v>
      </c>
      <c r="N100" s="41">
        <v>4000</v>
      </c>
      <c r="O100" s="41">
        <v>5000</v>
      </c>
      <c r="P100" s="41">
        <v>6000</v>
      </c>
      <c r="Q100" s="41">
        <v>7000</v>
      </c>
    </row>
    <row r="101" spans="1:17" ht="19.5" customHeight="1" x14ac:dyDescent="0.3">
      <c r="A101" s="42"/>
      <c r="B101" s="50" t="s">
        <v>137</v>
      </c>
      <c r="C101" s="51" t="s">
        <v>45</v>
      </c>
      <c r="D101" s="52" t="s">
        <v>138</v>
      </c>
      <c r="E101" s="53" t="s">
        <v>47</v>
      </c>
      <c r="F101" s="54">
        <v>0.92</v>
      </c>
      <c r="G101" s="53" t="s">
        <v>48</v>
      </c>
      <c r="H101" s="54">
        <v>0.85</v>
      </c>
      <c r="I101" s="55">
        <v>11</v>
      </c>
      <c r="J101" s="56">
        <f>ROUND((3863*$T$1),0)*1.05</f>
        <v>4056.15</v>
      </c>
      <c r="K101" s="56">
        <f>ROUND((4292*$T$1),0)*1.05</f>
        <v>4506.6000000000004</v>
      </c>
      <c r="L101" s="56">
        <f>ROUND((4363*$T$1),0)*1.05</f>
        <v>4581.1500000000005</v>
      </c>
      <c r="M101" s="56">
        <f>ROUND((4446*$T$1),0)*1.05</f>
        <v>4668.3</v>
      </c>
      <c r="N101" s="56">
        <f>ROUND((4529*$T$1),0)*1.05</f>
        <v>4755.45</v>
      </c>
      <c r="O101" s="56">
        <f>ROUND((4578*$T$1),0)*1.05</f>
        <v>4806.9000000000005</v>
      </c>
      <c r="P101" s="56">
        <f>ROUND((4728*$T$1),0)*1.05</f>
        <v>4964.4000000000005</v>
      </c>
      <c r="Q101" s="56">
        <f>ROUND((4976*$T$1),0)*1.05</f>
        <v>5224.8</v>
      </c>
    </row>
    <row r="102" spans="1:17" ht="19.5" customHeight="1" x14ac:dyDescent="0.3">
      <c r="A102" s="42"/>
      <c r="B102" s="50" t="s">
        <v>139</v>
      </c>
      <c r="C102" s="51" t="s">
        <v>45</v>
      </c>
      <c r="D102" s="52" t="s">
        <v>140</v>
      </c>
      <c r="E102" s="53" t="s">
        <v>47</v>
      </c>
      <c r="F102" s="54">
        <v>0.92</v>
      </c>
      <c r="G102" s="53" t="s">
        <v>48</v>
      </c>
      <c r="H102" s="54">
        <v>0.85</v>
      </c>
      <c r="I102" s="55">
        <v>11</v>
      </c>
      <c r="J102" s="56">
        <f>ROUND((3672*$T$1),0)*1.05</f>
        <v>3855.6000000000004</v>
      </c>
      <c r="K102" s="56">
        <f>ROUND((4080*$T$1),0)*1.05</f>
        <v>4284</v>
      </c>
      <c r="L102" s="56">
        <f>ROUND((4147*$T$1),0)*1.05</f>
        <v>4354.3500000000004</v>
      </c>
      <c r="M102" s="56">
        <f>ROUND((4223*$T$1),0)*1.05</f>
        <v>4434.1500000000005</v>
      </c>
      <c r="N102" s="56">
        <f>ROUND((4300*$T$1),0)*1.05</f>
        <v>4515</v>
      </c>
      <c r="O102" s="56">
        <f>ROUND((4346*$T$1),0)*1.05</f>
        <v>4563.3</v>
      </c>
      <c r="P102" s="56">
        <f>ROUND((4484*$T$1),0)*1.05</f>
        <v>4708.2</v>
      </c>
      <c r="Q102" s="56">
        <f>ROUND((4714*$T$1),0)*1.05</f>
        <v>4949.7</v>
      </c>
    </row>
    <row r="103" spans="1:17" ht="19.5" customHeight="1" x14ac:dyDescent="0.3">
      <c r="A103" s="86"/>
      <c r="B103" s="50" t="s">
        <v>141</v>
      </c>
      <c r="C103" s="51" t="s">
        <v>45</v>
      </c>
      <c r="D103" s="52" t="s">
        <v>142</v>
      </c>
      <c r="E103" s="53" t="s">
        <v>47</v>
      </c>
      <c r="F103" s="54">
        <v>0.92</v>
      </c>
      <c r="G103" s="53" t="s">
        <v>48</v>
      </c>
      <c r="H103" s="54">
        <v>0.85</v>
      </c>
      <c r="I103" s="55">
        <v>10</v>
      </c>
      <c r="J103" s="56">
        <f>ROUND((3470*$T$1),0)*1.05</f>
        <v>3643.5</v>
      </c>
      <c r="K103" s="56">
        <f>ROUND((3855*$T$1),0)*1.05</f>
        <v>4047.75</v>
      </c>
      <c r="L103" s="56">
        <f>ROUND((3917*$T$1),0)*1.05</f>
        <v>4112.8500000000004</v>
      </c>
      <c r="M103" s="56">
        <f>ROUND((3989*$T$1),0)*1.05</f>
        <v>4188.45</v>
      </c>
      <c r="N103" s="56">
        <f>ROUND((4061*$T$1),0)*1.05</f>
        <v>4264.05</v>
      </c>
      <c r="O103" s="56">
        <f>ROUND((4104*$T$1),0)*1.05</f>
        <v>4309.2</v>
      </c>
      <c r="P103" s="56">
        <f>ROUND((4234*$T$1),0)*1.05</f>
        <v>4445.7</v>
      </c>
      <c r="Q103" s="56">
        <f>ROUND((4449*$T$1),0)*1.05</f>
        <v>4671.45</v>
      </c>
    </row>
    <row r="104" spans="1:17" ht="19.5" customHeight="1" x14ac:dyDescent="0.3">
      <c r="A104" s="86"/>
      <c r="B104" s="50" t="s">
        <v>143</v>
      </c>
      <c r="C104" s="51" t="s">
        <v>45</v>
      </c>
      <c r="D104" s="52" t="s">
        <v>144</v>
      </c>
      <c r="E104" s="53" t="s">
        <v>47</v>
      </c>
      <c r="F104" s="54">
        <v>0.92</v>
      </c>
      <c r="G104" s="53" t="s">
        <v>48</v>
      </c>
      <c r="H104" s="54">
        <v>0.85</v>
      </c>
      <c r="I104" s="55">
        <v>9</v>
      </c>
      <c r="J104" s="56">
        <f>ROUND((3276*$T$1),0)*1.05</f>
        <v>3439.8</v>
      </c>
      <c r="K104" s="56">
        <f>ROUND((3641*$T$1),0)*1.05</f>
        <v>3823.05</v>
      </c>
      <c r="L104" s="56">
        <f>ROUND((3700*$T$1),0)*1.05</f>
        <v>3885</v>
      </c>
      <c r="M104" s="56">
        <f>ROUND((3767*$T$1),0)*1.05</f>
        <v>3955.3500000000004</v>
      </c>
      <c r="N104" s="56">
        <f>ROUND((3835*$T$1),0)*1.05</f>
        <v>4026.75</v>
      </c>
      <c r="O104" s="56">
        <f>ROUND((3876*$T$1),0)*1.05</f>
        <v>4069.8</v>
      </c>
      <c r="P104" s="56">
        <f>ROUND((3997*$T$1),0)*1.05</f>
        <v>4196.8500000000004</v>
      </c>
      <c r="Q104" s="56">
        <f>ROUND((4200*$T$1),0)*1.05</f>
        <v>4410</v>
      </c>
    </row>
    <row r="105" spans="1:17" ht="19.5" customHeight="1" x14ac:dyDescent="0.3">
      <c r="A105" s="86"/>
      <c r="B105" s="50" t="s">
        <v>145</v>
      </c>
      <c r="C105" s="51" t="s">
        <v>45</v>
      </c>
      <c r="D105" s="52" t="s">
        <v>146</v>
      </c>
      <c r="E105" s="53" t="s">
        <v>47</v>
      </c>
      <c r="F105" s="54">
        <v>0.92</v>
      </c>
      <c r="G105" s="53" t="s">
        <v>48</v>
      </c>
      <c r="H105" s="54">
        <v>0.85</v>
      </c>
      <c r="I105" s="55">
        <v>9</v>
      </c>
      <c r="J105" s="56">
        <f>ROUND((3131*$T$1),0)*1.05</f>
        <v>3287.55</v>
      </c>
      <c r="K105" s="56">
        <f>ROUND((3480*$T$1),0)*1.05</f>
        <v>3654</v>
      </c>
      <c r="L105" s="56">
        <f>ROUND((3534*$T$1),0)*1.05</f>
        <v>3710.7000000000003</v>
      </c>
      <c r="M105" s="56">
        <f>ROUND((3596*$T$1),0)*1.05</f>
        <v>3775.8</v>
      </c>
      <c r="N105" s="56">
        <f>ROUND((3659*$T$1),0)*1.05</f>
        <v>3841.9500000000003</v>
      </c>
      <c r="O105" s="56">
        <f>ROUND((3697*$T$1),0)*1.05</f>
        <v>3881.8500000000004</v>
      </c>
      <c r="P105" s="56">
        <f>ROUND((3810*$T$1),0)*1.05</f>
        <v>4000.5</v>
      </c>
      <c r="Q105" s="56">
        <f>ROUND((3997*$T$1),0)*1.05</f>
        <v>4196.8500000000004</v>
      </c>
    </row>
    <row r="106" spans="1:17" ht="19.5" customHeight="1" x14ac:dyDescent="0.3">
      <c r="A106" s="86"/>
      <c r="B106" s="50"/>
      <c r="C106" s="51"/>
      <c r="D106" s="52"/>
      <c r="E106" s="53"/>
      <c r="F106" s="54"/>
      <c r="G106" s="53"/>
      <c r="H106" s="54"/>
      <c r="I106" s="55"/>
      <c r="J106" s="56"/>
      <c r="K106" s="56"/>
      <c r="L106" s="56"/>
      <c r="M106" s="56"/>
      <c r="N106" s="56"/>
      <c r="O106" s="56"/>
      <c r="P106" s="56"/>
      <c r="Q106" s="56"/>
    </row>
    <row r="107" spans="1:17" ht="19.5" customHeight="1" x14ac:dyDescent="0.3">
      <c r="A107" s="86"/>
      <c r="B107" s="50" t="s">
        <v>147</v>
      </c>
      <c r="C107" s="51" t="s">
        <v>45</v>
      </c>
      <c r="D107" s="52" t="s">
        <v>138</v>
      </c>
      <c r="E107" s="53" t="s">
        <v>47</v>
      </c>
      <c r="F107" s="54">
        <v>0.92</v>
      </c>
      <c r="G107" s="53" t="s">
        <v>48</v>
      </c>
      <c r="H107" s="54">
        <v>0.85</v>
      </c>
      <c r="I107" s="55">
        <v>13</v>
      </c>
      <c r="J107" s="56">
        <f>ROUND((4292*$T$1),0)*1.05</f>
        <v>4506.6000000000004</v>
      </c>
      <c r="K107" s="56">
        <f>ROUND((4769*$T$1),0)*1.05</f>
        <v>5007.45</v>
      </c>
      <c r="L107" s="56">
        <f>ROUND((4848*$T$1),0)*1.05</f>
        <v>5090.4000000000005</v>
      </c>
      <c r="M107" s="56">
        <f>ROUND((4940*$T$1),0)*1.05</f>
        <v>5187</v>
      </c>
      <c r="N107" s="56">
        <f>ROUND((5032*$T$1),0)*1.05</f>
        <v>5283.6</v>
      </c>
      <c r="O107" s="56">
        <f>ROUND((5086*$T$1),0)*1.05</f>
        <v>5340.3</v>
      </c>
      <c r="P107" s="56">
        <f>ROUND((5253*$T$1),0)*1.05</f>
        <v>5515.6500000000005</v>
      </c>
      <c r="Q107" s="56">
        <f>ROUND((5529*$T$1),0)*1.05</f>
        <v>5805.45</v>
      </c>
    </row>
    <row r="108" spans="1:17" ht="19.5" customHeight="1" x14ac:dyDescent="0.3">
      <c r="A108" s="86"/>
      <c r="B108" s="50" t="s">
        <v>148</v>
      </c>
      <c r="C108" s="51" t="s">
        <v>45</v>
      </c>
      <c r="D108" s="52" t="s">
        <v>140</v>
      </c>
      <c r="E108" s="53" t="s">
        <v>47</v>
      </c>
      <c r="F108" s="54">
        <v>0.92</v>
      </c>
      <c r="G108" s="53" t="s">
        <v>48</v>
      </c>
      <c r="H108" s="54">
        <v>0.85</v>
      </c>
      <c r="I108" s="55">
        <v>13</v>
      </c>
      <c r="J108" s="56">
        <f>ROUND((4080*$T$1),0)*1.05</f>
        <v>4284</v>
      </c>
      <c r="K108" s="56">
        <f>ROUND((4533*$T$1),0)*1.05</f>
        <v>4759.6500000000005</v>
      </c>
      <c r="L108" s="56">
        <f>ROUND((4608*$T$1),0)*1.05</f>
        <v>4838.4000000000005</v>
      </c>
      <c r="M108" s="56">
        <f>ROUND((4692*$T$1),0)*1.05</f>
        <v>4926.6000000000004</v>
      </c>
      <c r="N108" s="56">
        <f>ROUND((4777*$T$1),0)*1.05</f>
        <v>5015.8500000000004</v>
      </c>
      <c r="O108" s="56">
        <f>ROUND((4829*$T$1),0)*1.05</f>
        <v>5070.45</v>
      </c>
      <c r="P108" s="56">
        <f>ROUND((4982*$T$1),0)*1.05</f>
        <v>5231.1000000000004</v>
      </c>
      <c r="Q108" s="56">
        <f>ROUND((5237*$T$1),0)*1.05</f>
        <v>5498.85</v>
      </c>
    </row>
    <row r="109" spans="1:17" ht="19.5" customHeight="1" x14ac:dyDescent="0.3">
      <c r="A109" s="86"/>
      <c r="B109" s="50" t="s">
        <v>149</v>
      </c>
      <c r="C109" s="51" t="s">
        <v>45</v>
      </c>
      <c r="D109" s="52" t="s">
        <v>142</v>
      </c>
      <c r="E109" s="53" t="s">
        <v>47</v>
      </c>
      <c r="F109" s="54">
        <v>0.92</v>
      </c>
      <c r="G109" s="53" t="s">
        <v>48</v>
      </c>
      <c r="H109" s="54">
        <v>0.85</v>
      </c>
      <c r="I109" s="55">
        <v>12</v>
      </c>
      <c r="J109" s="56">
        <f>ROUND((3855*$T$1),0)*1.05</f>
        <v>4047.75</v>
      </c>
      <c r="K109" s="56">
        <f>ROUND((4283*$T$1),0)*1.05</f>
        <v>4497.1500000000005</v>
      </c>
      <c r="L109" s="56">
        <f>ROUND((4352*$T$1),0)*1.05</f>
        <v>4569.6000000000004</v>
      </c>
      <c r="M109" s="56">
        <f>ROUND((4432*$T$1),0)*1.05</f>
        <v>4653.6000000000004</v>
      </c>
      <c r="N109" s="56">
        <f>ROUND((4511*$T$1),0)*1.05</f>
        <v>4736.55</v>
      </c>
      <c r="O109" s="56">
        <f>ROUND((4561*$T$1),0)*1.05</f>
        <v>4789.05</v>
      </c>
      <c r="P109" s="56">
        <f>ROUND((4705*$T$1),0)*1.05</f>
        <v>4940.25</v>
      </c>
      <c r="Q109" s="56">
        <f>ROUND((4944*$T$1),0)*1.05</f>
        <v>5191.2</v>
      </c>
    </row>
    <row r="110" spans="1:17" ht="19.5" customHeight="1" x14ac:dyDescent="0.3">
      <c r="A110" s="86"/>
      <c r="B110" s="50" t="s">
        <v>150</v>
      </c>
      <c r="C110" s="51" t="s">
        <v>45</v>
      </c>
      <c r="D110" s="52" t="s">
        <v>144</v>
      </c>
      <c r="E110" s="53" t="s">
        <v>47</v>
      </c>
      <c r="F110" s="54">
        <v>0.92</v>
      </c>
      <c r="G110" s="53" t="s">
        <v>48</v>
      </c>
      <c r="H110" s="54">
        <v>0.85</v>
      </c>
      <c r="I110" s="55">
        <v>10</v>
      </c>
      <c r="J110" s="56">
        <f>ROUND((3641*$T$1),0)*1.05</f>
        <v>3823.05</v>
      </c>
      <c r="K110" s="56">
        <f>ROUND((4046*$T$1),0)*1.05</f>
        <v>4248.3</v>
      </c>
      <c r="L110" s="56">
        <f>ROUND((4136*$T$1),0)*1.05</f>
        <v>4342.8</v>
      </c>
      <c r="M110" s="56">
        <f>ROUND((4186*$T$1),0)*1.05</f>
        <v>4395.3</v>
      </c>
      <c r="N110" s="56">
        <f>ROUND((4262*$T$1),0)*1.05</f>
        <v>4475.1000000000004</v>
      </c>
      <c r="O110" s="56">
        <f>ROUND((4306*$T$1),0)*1.05</f>
        <v>4521.3</v>
      </c>
      <c r="P110" s="56">
        <f>ROUND((4441*$T$1),0)*1.05</f>
        <v>4663.05</v>
      </c>
      <c r="Q110" s="56">
        <f>ROUND((4667*$T$1),0)*1.05</f>
        <v>4900.3500000000004</v>
      </c>
    </row>
    <row r="111" spans="1:17" ht="19.5" customHeight="1" x14ac:dyDescent="0.3">
      <c r="A111" s="86"/>
      <c r="B111" s="50"/>
      <c r="C111" s="51"/>
      <c r="D111" s="52"/>
      <c r="E111" s="53"/>
      <c r="F111" s="54"/>
      <c r="G111" s="53"/>
      <c r="H111" s="54"/>
      <c r="I111" s="55"/>
      <c r="J111" s="56"/>
      <c r="K111" s="56"/>
      <c r="L111" s="56"/>
      <c r="M111" s="56"/>
      <c r="N111" s="56"/>
      <c r="O111" s="56"/>
      <c r="P111" s="56"/>
      <c r="Q111" s="56"/>
    </row>
    <row r="112" spans="1:17" ht="19.5" customHeight="1" x14ac:dyDescent="0.3">
      <c r="A112" s="86"/>
      <c r="B112" s="50" t="s">
        <v>151</v>
      </c>
      <c r="C112" s="51" t="s">
        <v>45</v>
      </c>
      <c r="D112" s="52" t="s">
        <v>152</v>
      </c>
      <c r="E112" s="53" t="s">
        <v>47</v>
      </c>
      <c r="F112" s="54">
        <v>0.68</v>
      </c>
      <c r="G112" s="53" t="s">
        <v>48</v>
      </c>
      <c r="H112" s="54">
        <v>0.5</v>
      </c>
      <c r="I112" s="55">
        <v>4</v>
      </c>
      <c r="J112" s="56">
        <f>ROUND((1218*$T$1),0)*1.05</f>
        <v>1278.9000000000001</v>
      </c>
      <c r="K112" s="56">
        <f>ROUND((1354*$T$1),0)*1.05</f>
        <v>1421.7</v>
      </c>
      <c r="L112" s="56">
        <f>ROUND((1374*$T$1),0)*1.05</f>
        <v>1442.7</v>
      </c>
      <c r="M112" s="56">
        <f>ROUND((1397*$T$1),0)*1.05</f>
        <v>1466.8500000000001</v>
      </c>
      <c r="N112" s="56">
        <f>ROUND((1420*$T$1),0)*1.05</f>
        <v>1491</v>
      </c>
      <c r="O112" s="56">
        <f>ROUND((1434*$T$1),0)*1.05</f>
        <v>1505.7</v>
      </c>
      <c r="P112" s="56">
        <f>ROUND((1474*$T$1),0)*1.05</f>
        <v>1547.7</v>
      </c>
      <c r="Q112" s="56">
        <f>ROUND((1543*$T$1),0)*1.05</f>
        <v>1620.15</v>
      </c>
    </row>
    <row r="113" spans="1:17" ht="19.5" customHeight="1" x14ac:dyDescent="0.3">
      <c r="A113" s="86"/>
      <c r="B113" s="50" t="s">
        <v>153</v>
      </c>
      <c r="C113" s="51" t="s">
        <v>45</v>
      </c>
      <c r="D113" s="52" t="s">
        <v>154</v>
      </c>
      <c r="E113" s="53" t="s">
        <v>47</v>
      </c>
      <c r="F113" s="54">
        <v>0.68</v>
      </c>
      <c r="G113" s="53" t="s">
        <v>48</v>
      </c>
      <c r="H113" s="54">
        <v>0.5</v>
      </c>
      <c r="I113" s="55">
        <v>3</v>
      </c>
      <c r="J113" s="56">
        <f>ROUND((1191*$T$1),0)*1.05</f>
        <v>1250.55</v>
      </c>
      <c r="K113" s="56">
        <f>ROUND((1324*$T$1),0)*1.05</f>
        <v>1390.2</v>
      </c>
      <c r="L113" s="56">
        <f>ROUND((1342*$T$1),0)*1.05</f>
        <v>1409.1000000000001</v>
      </c>
      <c r="M113" s="56">
        <f>ROUND((1364*$T$1),0)*1.05</f>
        <v>1432.2</v>
      </c>
      <c r="N113" s="56">
        <f>ROUND((1385*$T$1),0)*1.05</f>
        <v>1454.25</v>
      </c>
      <c r="O113" s="56">
        <f>ROUND((1397*$T$1),0)*1.05</f>
        <v>1466.8500000000001</v>
      </c>
      <c r="P113" s="56">
        <f>ROUND((1435*$T$1),0)*1.05</f>
        <v>1506.75</v>
      </c>
      <c r="Q113" s="56">
        <f>ROUND((1498*$T$1),0)*1.05</f>
        <v>1572.9</v>
      </c>
    </row>
    <row r="114" spans="1:17" ht="19.5" customHeight="1" x14ac:dyDescent="0.3">
      <c r="A114" s="42"/>
      <c r="B114" s="50" t="s">
        <v>155</v>
      </c>
      <c r="C114" s="51" t="s">
        <v>45</v>
      </c>
      <c r="D114" s="52" t="s">
        <v>156</v>
      </c>
      <c r="E114" s="53" t="s">
        <v>47</v>
      </c>
      <c r="F114" s="54">
        <v>0.68</v>
      </c>
      <c r="G114" s="53" t="s">
        <v>48</v>
      </c>
      <c r="H114" s="54">
        <v>0.5</v>
      </c>
      <c r="I114" s="55">
        <v>3</v>
      </c>
      <c r="J114" s="56">
        <f>ROUND((1165*$T$1),0)*1.05</f>
        <v>1223.25</v>
      </c>
      <c r="K114" s="56">
        <f>ROUND((1294*$T$1),0)*1.05</f>
        <v>1358.7</v>
      </c>
      <c r="L114" s="56">
        <f>ROUND((1311*$T$1),0)*1.05</f>
        <v>1376.55</v>
      </c>
      <c r="M114" s="56">
        <f>ROUND((1331*$T$1),0)*1.05</f>
        <v>1397.55</v>
      </c>
      <c r="N114" s="56">
        <f>ROUND((1349*$T$1),0)*1.05</f>
        <v>1416.45</v>
      </c>
      <c r="O114" s="56">
        <f>ROUND((1362*$T$1),0)*1.05</f>
        <v>1430.1000000000001</v>
      </c>
      <c r="P114" s="56">
        <f>ROUND((1396*$T$1),0)*1.05</f>
        <v>1465.8</v>
      </c>
      <c r="Q114" s="56">
        <f>ROUND((1454*$T$1),0)*1.05</f>
        <v>1526.7</v>
      </c>
    </row>
    <row r="115" spans="1:17" ht="19.5" customHeight="1" x14ac:dyDescent="0.3">
      <c r="A115" s="42"/>
      <c r="B115" s="50" t="s">
        <v>157</v>
      </c>
      <c r="C115" s="51" t="s">
        <v>45</v>
      </c>
      <c r="D115" s="52" t="s">
        <v>158</v>
      </c>
      <c r="E115" s="53" t="s">
        <v>47</v>
      </c>
      <c r="F115" s="54">
        <v>0.68</v>
      </c>
      <c r="G115" s="53" t="s">
        <v>48</v>
      </c>
      <c r="H115" s="54">
        <v>0.5</v>
      </c>
      <c r="I115" s="55">
        <v>3</v>
      </c>
      <c r="J115" s="56">
        <f>ROUND((1030*$T$1),0)*1.05</f>
        <v>1081.5</v>
      </c>
      <c r="K115" s="56">
        <f>ROUND((1245*$T$1),0)*1.05</f>
        <v>1307.25</v>
      </c>
      <c r="L115" s="56">
        <f>ROUND((1162*$T$1),0)*1.05</f>
        <v>1220.1000000000001</v>
      </c>
      <c r="M115" s="56">
        <f>ROUND((1179*$T$1),0)*1.05</f>
        <v>1237.95</v>
      </c>
      <c r="N115" s="56">
        <f>ROUND((1196*$T$1),0)*1.05</f>
        <v>1255.8</v>
      </c>
      <c r="O115" s="56">
        <f>ROUND((1206*$T$1),0)*1.05</f>
        <v>1266.3</v>
      </c>
      <c r="P115" s="56">
        <f>ROUND((1237*$T$1),0)*1.05</f>
        <v>1298.8500000000001</v>
      </c>
      <c r="Q115" s="56">
        <f>ROUND((1290*$T$1),0)*1.05</f>
        <v>1354.5</v>
      </c>
    </row>
    <row r="116" spans="1:17" ht="19.5" customHeight="1" x14ac:dyDescent="0.3">
      <c r="A116" s="42"/>
      <c r="B116" s="50" t="s">
        <v>159</v>
      </c>
      <c r="C116" s="51" t="s">
        <v>45</v>
      </c>
      <c r="D116" s="52" t="s">
        <v>160</v>
      </c>
      <c r="E116" s="53" t="s">
        <v>47</v>
      </c>
      <c r="F116" s="54">
        <v>0.68</v>
      </c>
      <c r="G116" s="53" t="s">
        <v>48</v>
      </c>
      <c r="H116" s="54">
        <v>0.5</v>
      </c>
      <c r="I116" s="55">
        <v>3</v>
      </c>
      <c r="J116" s="56">
        <f>ROUND((1004*$T$1),0)*1.05</f>
        <v>1054.2</v>
      </c>
      <c r="K116" s="56">
        <f>ROUND((1116*$T$1),0)*1.05</f>
        <v>1171.8</v>
      </c>
      <c r="L116" s="56">
        <f>ROUND((1129*$T$1),0)*1.05</f>
        <v>1185.45</v>
      </c>
      <c r="M116" s="56">
        <f>ROUND((1145*$T$1),0)*1.05</f>
        <v>1202.25</v>
      </c>
      <c r="N116" s="56">
        <f>ROUND((1160*$T$1),0)*1.05</f>
        <v>1218</v>
      </c>
      <c r="O116" s="56">
        <f>ROUND((1171*$T$1),0)*1.05</f>
        <v>1229.55</v>
      </c>
      <c r="P116" s="56">
        <f>ROUND((1198*$T$1),0)*1.05</f>
        <v>1257.9000000000001</v>
      </c>
      <c r="Q116" s="56">
        <f>ROUND((1245*$T$1),0)*1.05</f>
        <v>1307.25</v>
      </c>
    </row>
    <row r="117" spans="1:17" ht="19.5" customHeight="1" x14ac:dyDescent="0.3">
      <c r="A117" s="42"/>
      <c r="B117" s="188"/>
      <c r="C117" s="188"/>
      <c r="D117" s="188"/>
      <c r="E117" s="188"/>
      <c r="F117" s="188"/>
      <c r="G117" s="188"/>
      <c r="H117" s="188"/>
      <c r="I117" s="188"/>
    </row>
    <row r="118" spans="1:17" ht="19.5" customHeight="1" x14ac:dyDescent="0.3">
      <c r="A118" s="42"/>
      <c r="B118" s="50" t="s">
        <v>161</v>
      </c>
      <c r="C118" s="51" t="s">
        <v>45</v>
      </c>
      <c r="D118" s="52" t="s">
        <v>138</v>
      </c>
      <c r="E118" s="53" t="s">
        <v>47</v>
      </c>
      <c r="F118" s="54">
        <v>0.92</v>
      </c>
      <c r="G118" s="53" t="s">
        <v>48</v>
      </c>
      <c r="H118" s="54">
        <v>0.85</v>
      </c>
      <c r="I118" s="55">
        <v>11</v>
      </c>
      <c r="J118" s="56">
        <f>ROUND((3582*$T$1),0)*1.05</f>
        <v>3761.1000000000004</v>
      </c>
      <c r="K118" s="56">
        <f>ROUND((3980*$T$1),0)*1.05</f>
        <v>4179</v>
      </c>
      <c r="L118" s="56">
        <f>ROUND((4051*$T$1),0)*1.05</f>
        <v>4253.55</v>
      </c>
      <c r="M118" s="56">
        <f>ROUND((4134*$T$1),0)*1.05</f>
        <v>4340.7</v>
      </c>
      <c r="N118" s="56">
        <f>ROUND((4217*$T$1),0)*1.05</f>
        <v>4427.8500000000004</v>
      </c>
      <c r="O118" s="56">
        <f>ROUND((4267*$T$1),0)*1.05</f>
        <v>4480.3500000000004</v>
      </c>
      <c r="P118" s="56">
        <f>ROUND((4416*$T$1),0)*1.05</f>
        <v>4636.8</v>
      </c>
      <c r="Q118" s="56">
        <f>ROUND((4664*$T$1),0)*1.05</f>
        <v>4897.2</v>
      </c>
    </row>
    <row r="119" spans="1:17" ht="19.5" customHeight="1" x14ac:dyDescent="0.3">
      <c r="A119" s="42"/>
      <c r="B119" s="50" t="s">
        <v>162</v>
      </c>
      <c r="C119" s="51" t="s">
        <v>45</v>
      </c>
      <c r="D119" s="52" t="s">
        <v>140</v>
      </c>
      <c r="E119" s="53" t="s">
        <v>47</v>
      </c>
      <c r="F119" s="54">
        <v>0.92</v>
      </c>
      <c r="G119" s="53" t="s">
        <v>48</v>
      </c>
      <c r="H119" s="54">
        <v>0.85</v>
      </c>
      <c r="I119" s="55">
        <v>11</v>
      </c>
      <c r="J119" s="56">
        <f>ROUND((3391*$T$1),0)*1.05</f>
        <v>3560.55</v>
      </c>
      <c r="K119" s="56">
        <f>ROUND((3769*$T$1),0)*1.05</f>
        <v>3957.4500000000003</v>
      </c>
      <c r="L119" s="56">
        <f>ROUND((3835*$T$1),0)*1.05</f>
        <v>4026.75</v>
      </c>
      <c r="M119" s="56">
        <f>ROUND((3911*$T$1),0)*1.05</f>
        <v>4106.55</v>
      </c>
      <c r="N119" s="56">
        <f>ROUND((3988*$T$1),0)*1.05</f>
        <v>4187.4000000000005</v>
      </c>
      <c r="O119" s="56">
        <f>ROUND((4034*$T$1),0)*1.05</f>
        <v>4235.7</v>
      </c>
      <c r="P119" s="56">
        <f>ROUND((4172*$T$1),0)*1.05</f>
        <v>4380.6000000000004</v>
      </c>
      <c r="Q119" s="56">
        <f>ROUND((4402*$T$1),0)*1.05</f>
        <v>4622.1000000000004</v>
      </c>
    </row>
    <row r="120" spans="1:17" ht="19.5" customHeight="1" x14ac:dyDescent="0.3">
      <c r="A120" s="42"/>
      <c r="B120" s="50" t="s">
        <v>163</v>
      </c>
      <c r="C120" s="51" t="s">
        <v>45</v>
      </c>
      <c r="D120" s="52" t="s">
        <v>142</v>
      </c>
      <c r="E120" s="53" t="s">
        <v>47</v>
      </c>
      <c r="F120" s="54">
        <v>0.92</v>
      </c>
      <c r="G120" s="53" t="s">
        <v>48</v>
      </c>
      <c r="H120" s="54">
        <v>0.85</v>
      </c>
      <c r="I120" s="55">
        <v>10</v>
      </c>
      <c r="J120" s="56">
        <f>ROUND((3190*$T$1),0)*1.05</f>
        <v>3349.5</v>
      </c>
      <c r="K120" s="56">
        <f>ROUND((3544*$T$1),0)*1.05</f>
        <v>3721.2000000000003</v>
      </c>
      <c r="L120" s="56">
        <f>ROUND((3606*$T$1),0)*1.05</f>
        <v>3786.3</v>
      </c>
      <c r="M120" s="56">
        <f>ROUND((3679*$T$1),0)*1.05</f>
        <v>3862.9500000000003</v>
      </c>
      <c r="N120" s="56">
        <f>ROUND((3750*$T$1),0)*1.05</f>
        <v>3937.5</v>
      </c>
      <c r="O120" s="56">
        <f>ROUND((3794*$T$1),0)*1.05</f>
        <v>3983.7000000000003</v>
      </c>
      <c r="P120" s="56">
        <f>ROUND((3924*$T$1),0)*1.05</f>
        <v>4120.2</v>
      </c>
      <c r="Q120" s="56">
        <f>ROUND((4139*$T$1),0)*1.05</f>
        <v>4345.95</v>
      </c>
    </row>
    <row r="121" spans="1:17" ht="19.5" customHeight="1" x14ac:dyDescent="0.3">
      <c r="A121" s="42"/>
      <c r="B121" s="50" t="s">
        <v>164</v>
      </c>
      <c r="C121" s="51" t="s">
        <v>45</v>
      </c>
      <c r="D121" s="52" t="s">
        <v>144</v>
      </c>
      <c r="E121" s="53" t="s">
        <v>47</v>
      </c>
      <c r="F121" s="54">
        <v>0.92</v>
      </c>
      <c r="G121" s="53" t="s">
        <v>48</v>
      </c>
      <c r="H121" s="54">
        <v>0.85</v>
      </c>
      <c r="I121" s="55">
        <v>9</v>
      </c>
      <c r="J121" s="56">
        <f>ROUND((2977*$T$1),0)*1.05</f>
        <v>3125.85</v>
      </c>
      <c r="K121" s="56">
        <f>ROUND((3330*$T$1),0)*1.05</f>
        <v>3496.5</v>
      </c>
      <c r="L121" s="56">
        <f>ROUND((3389*$T$1),0)*1.05</f>
        <v>3558.4500000000003</v>
      </c>
      <c r="M121" s="56">
        <f>ROUND((3457*$T$1),0)*1.05</f>
        <v>3629.8500000000004</v>
      </c>
      <c r="N121" s="56">
        <f>ROUND((3525*$T$1),0)*1.05</f>
        <v>3701.25</v>
      </c>
      <c r="O121" s="56">
        <f>ROUND((3565*$T$1),0)*1.05</f>
        <v>3743.25</v>
      </c>
      <c r="P121" s="56">
        <f>ROUND((3687*$T$1),0)*1.05</f>
        <v>3871.3500000000004</v>
      </c>
      <c r="Q121" s="56">
        <f>ROUND((3889*$T$1),0)*1.05</f>
        <v>4083.4500000000003</v>
      </c>
    </row>
    <row r="122" spans="1:17" ht="19.5" customHeight="1" x14ac:dyDescent="0.3">
      <c r="A122" s="42"/>
      <c r="B122" s="50" t="s">
        <v>165</v>
      </c>
      <c r="C122" s="51" t="s">
        <v>45</v>
      </c>
      <c r="D122" s="52" t="s">
        <v>146</v>
      </c>
      <c r="E122" s="53" t="s">
        <v>47</v>
      </c>
      <c r="F122" s="54">
        <v>0.92</v>
      </c>
      <c r="G122" s="53" t="s">
        <v>48</v>
      </c>
      <c r="H122" s="54">
        <v>0.85</v>
      </c>
      <c r="I122" s="55">
        <v>9</v>
      </c>
      <c r="J122" s="56">
        <f>ROUND((2903*$T$1),0)*1.05</f>
        <v>3048.15</v>
      </c>
      <c r="K122" s="56">
        <f>ROUND((3225*$T$1),0)*1.05</f>
        <v>3386.25</v>
      </c>
      <c r="L122" s="56">
        <f>ROUND((3279*$T$1),0)*1.05</f>
        <v>3442.9500000000003</v>
      </c>
      <c r="M122" s="56">
        <f>ROUND((3341*$T$1),0)*1.05</f>
        <v>3508.05</v>
      </c>
      <c r="N122" s="56">
        <f>ROUND((3404*$T$1),0)*1.05</f>
        <v>3574.2000000000003</v>
      </c>
      <c r="O122" s="56">
        <f>ROUND((3442*$T$1),0)*1.05</f>
        <v>3614.1000000000004</v>
      </c>
      <c r="P122" s="56">
        <f>ROUND((3555*$T$1),0)*1.05</f>
        <v>3732.75</v>
      </c>
      <c r="Q122" s="56">
        <f>ROUND((3742*$T$1),0)*1.05</f>
        <v>3929.1000000000004</v>
      </c>
    </row>
    <row r="123" spans="1:17" ht="19.5" customHeight="1" x14ac:dyDescent="0.3">
      <c r="A123" s="42"/>
      <c r="B123" s="50"/>
      <c r="C123" s="51"/>
      <c r="D123" s="52"/>
      <c r="E123" s="53"/>
      <c r="F123" s="54"/>
      <c r="G123" s="53"/>
      <c r="H123" s="54"/>
      <c r="I123" s="55"/>
      <c r="J123" s="56"/>
      <c r="K123" s="56"/>
      <c r="L123" s="56"/>
      <c r="M123" s="56"/>
      <c r="N123" s="56"/>
      <c r="O123" s="56"/>
      <c r="P123" s="56"/>
      <c r="Q123" s="56"/>
    </row>
    <row r="124" spans="1:17" ht="19.5" customHeight="1" x14ac:dyDescent="0.3">
      <c r="A124" s="42"/>
      <c r="B124" s="50" t="s">
        <v>166</v>
      </c>
      <c r="C124" s="51" t="s">
        <v>45</v>
      </c>
      <c r="D124" s="52" t="s">
        <v>138</v>
      </c>
      <c r="E124" s="53" t="s">
        <v>47</v>
      </c>
      <c r="F124" s="54">
        <v>0.92</v>
      </c>
      <c r="G124" s="53" t="s">
        <v>48</v>
      </c>
      <c r="H124" s="54">
        <v>0.85</v>
      </c>
      <c r="I124" s="55">
        <v>13</v>
      </c>
      <c r="J124" s="56">
        <f>ROUND((3980*$T$1),0)*1.05</f>
        <v>4179</v>
      </c>
      <c r="K124" s="56">
        <f>ROUND((4123*$T$1),0)*1.05</f>
        <v>4329.1500000000005</v>
      </c>
      <c r="L124" s="56">
        <f>ROUND((4501*$T$1),0)*1.05</f>
        <v>4726.05</v>
      </c>
      <c r="M124" s="56">
        <f>ROUND((4593*$T$1),0)*1.05</f>
        <v>4822.6500000000005</v>
      </c>
      <c r="N124" s="56">
        <f>ROUND((4685*$T$1),0)*1.05</f>
        <v>4919.25</v>
      </c>
      <c r="O124" s="56">
        <f>ROUND((4740*$T$1),0)*1.05</f>
        <v>4977</v>
      </c>
      <c r="P124" s="56">
        <f>ROUND((4907*$T$1),0)*1.05</f>
        <v>5152.3500000000004</v>
      </c>
      <c r="Q124" s="56">
        <f>ROUND((5183*$T$1),0)*1.05</f>
        <v>5442.1500000000005</v>
      </c>
    </row>
    <row r="125" spans="1:17" ht="19.5" customHeight="1" x14ac:dyDescent="0.3">
      <c r="A125" s="42"/>
      <c r="B125" s="50" t="s">
        <v>167</v>
      </c>
      <c r="C125" s="51" t="s">
        <v>45</v>
      </c>
      <c r="D125" s="52" t="s">
        <v>140</v>
      </c>
      <c r="E125" s="53" t="s">
        <v>47</v>
      </c>
      <c r="F125" s="54">
        <v>0.92</v>
      </c>
      <c r="G125" s="53" t="s">
        <v>48</v>
      </c>
      <c r="H125" s="54">
        <v>0.85</v>
      </c>
      <c r="I125" s="55">
        <v>13</v>
      </c>
      <c r="J125" s="56">
        <f>ROUND((3769*$T$1),0)*1.05</f>
        <v>3957.4500000000003</v>
      </c>
      <c r="K125" s="56">
        <f>ROUND((4187*$T$1),0)*1.05</f>
        <v>4396.3500000000004</v>
      </c>
      <c r="L125" s="56">
        <f>ROUND((4262*$T$1),0)*1.05</f>
        <v>4475.1000000000004</v>
      </c>
      <c r="M125" s="56">
        <f>ROUND((4346*$T$1),0)*1.05</f>
        <v>4563.3</v>
      </c>
      <c r="N125" s="56">
        <f>ROUND((4431*$T$1),0)*1.05</f>
        <v>4652.55</v>
      </c>
      <c r="O125" s="56">
        <f>ROUND((4483*$T$1),0)*1.05</f>
        <v>4707.1500000000005</v>
      </c>
      <c r="P125" s="56">
        <f>ROUND((4636*$T$1),0)*1.05</f>
        <v>4867.8</v>
      </c>
      <c r="Q125" s="56">
        <f>ROUND((4891*$T$1),0)*1.05</f>
        <v>5135.55</v>
      </c>
    </row>
    <row r="126" spans="1:17" ht="19.5" customHeight="1" x14ac:dyDescent="0.3">
      <c r="A126" s="42"/>
      <c r="B126" s="50" t="s">
        <v>168</v>
      </c>
      <c r="C126" s="51" t="s">
        <v>45</v>
      </c>
      <c r="D126" s="52" t="s">
        <v>142</v>
      </c>
      <c r="E126" s="53" t="s">
        <v>47</v>
      </c>
      <c r="F126" s="54">
        <v>0.92</v>
      </c>
      <c r="G126" s="53" t="s">
        <v>48</v>
      </c>
      <c r="H126" s="54">
        <v>0.85</v>
      </c>
      <c r="I126" s="55">
        <v>12</v>
      </c>
      <c r="J126" s="56">
        <f>ROUND((3544*$T$1),0)*1.05</f>
        <v>3721.2000000000003</v>
      </c>
      <c r="K126" s="56">
        <f>ROUND((3938*$T$1),0)*1.05</f>
        <v>4134.9000000000005</v>
      </c>
      <c r="L126" s="56">
        <f>ROUND((4007*$T$1),0)*1.05</f>
        <v>4207.3500000000004</v>
      </c>
      <c r="M126" s="56">
        <f>ROUND((4087*$T$1),0)*1.05</f>
        <v>4291.3500000000004</v>
      </c>
      <c r="N126" s="56">
        <f>ROUND((4166*$T$1),0)*1.05</f>
        <v>4374.3</v>
      </c>
      <c r="O126" s="56">
        <f>ROUND((4216*$T$1),0)*1.05</f>
        <v>4426.8</v>
      </c>
      <c r="P126" s="56">
        <f>ROUND((4360*$T$1),0)*1.05</f>
        <v>4578</v>
      </c>
      <c r="Q126" s="56">
        <f>ROUND((4599*$T$1),0)*1.05</f>
        <v>4828.95</v>
      </c>
    </row>
    <row r="127" spans="1:17" ht="19.5" customHeight="1" x14ac:dyDescent="0.3">
      <c r="A127" s="42"/>
      <c r="B127" s="50" t="s">
        <v>169</v>
      </c>
      <c r="C127" s="51" t="s">
        <v>45</v>
      </c>
      <c r="D127" s="52" t="s">
        <v>144</v>
      </c>
      <c r="E127" s="53" t="s">
        <v>47</v>
      </c>
      <c r="F127" s="54">
        <v>0.92</v>
      </c>
      <c r="G127" s="53" t="s">
        <v>48</v>
      </c>
      <c r="H127" s="54">
        <v>0.85</v>
      </c>
      <c r="I127" s="55">
        <v>10</v>
      </c>
      <c r="J127" s="56">
        <f>ROUND((3330*$T$1),0)*1.05</f>
        <v>3496.5</v>
      </c>
      <c r="K127" s="56">
        <f>ROUND((3701*$T$1),0)*1.05</f>
        <v>3886.05</v>
      </c>
      <c r="L127" s="56">
        <f>ROUND((3765*$T$1),0)*1.05</f>
        <v>3953.25</v>
      </c>
      <c r="M127" s="56">
        <f>ROUND((3841*$T$1),0)*1.05</f>
        <v>4033.05</v>
      </c>
      <c r="N127" s="56">
        <f>ROUND((3917*$T$1),0)*1.05</f>
        <v>4112.8500000000004</v>
      </c>
      <c r="O127" s="56">
        <f>ROUND((3961*$T$1),0)*1.05</f>
        <v>4159.05</v>
      </c>
      <c r="P127" s="56">
        <f>ROUND((4096*$T$1),0)*1.05</f>
        <v>4300.8</v>
      </c>
      <c r="Q127" s="56">
        <f>ROUND((4322*$T$1),0)*1.05</f>
        <v>4538.1000000000004</v>
      </c>
    </row>
    <row r="128" spans="1:17" ht="19.5" customHeight="1" x14ac:dyDescent="0.3">
      <c r="A128" s="42"/>
      <c r="B128" s="50"/>
      <c r="C128" s="51"/>
      <c r="D128" s="52"/>
      <c r="E128" s="53"/>
      <c r="F128" s="54"/>
      <c r="G128" s="53"/>
      <c r="H128" s="54"/>
      <c r="I128" s="55"/>
      <c r="J128" s="56"/>
      <c r="K128" s="56"/>
      <c r="L128" s="56"/>
      <c r="M128" s="56"/>
      <c r="N128" s="56"/>
      <c r="O128" s="56"/>
      <c r="P128" s="56"/>
      <c r="Q128" s="56"/>
    </row>
    <row r="129" spans="1:20" ht="19.5" customHeight="1" x14ac:dyDescent="0.3">
      <c r="A129" s="42"/>
      <c r="B129" s="50" t="s">
        <v>170</v>
      </c>
      <c r="C129" s="51" t="s">
        <v>45</v>
      </c>
      <c r="D129" s="52" t="s">
        <v>152</v>
      </c>
      <c r="E129" s="53" t="s">
        <v>47</v>
      </c>
      <c r="F129" s="54">
        <v>0.68</v>
      </c>
      <c r="G129" s="53" t="s">
        <v>48</v>
      </c>
      <c r="H129" s="54">
        <v>0.5</v>
      </c>
      <c r="I129" s="55">
        <v>4</v>
      </c>
      <c r="J129" s="56">
        <f>ROUND((989*$T$1),0)*1.05</f>
        <v>1038.45</v>
      </c>
      <c r="K129" s="56">
        <f>ROUND((1099*$T$1),0)*1.05</f>
        <v>1153.95</v>
      </c>
      <c r="L129" s="56">
        <f>ROUND((1120*$T$1),0)*1.05</f>
        <v>1176</v>
      </c>
      <c r="M129" s="56">
        <f>ROUND((1143*$T$1),0)*1.05</f>
        <v>1200.1500000000001</v>
      </c>
      <c r="N129" s="56">
        <f>ROUND((1166*$T$1),0)*1.05</f>
        <v>1224.3</v>
      </c>
      <c r="O129" s="56">
        <f>ROUND((1180*$T$1),0)*1.05</f>
        <v>1239</v>
      </c>
      <c r="P129" s="56">
        <f>ROUND((1220*$T$1),0)*1.05</f>
        <v>1281</v>
      </c>
      <c r="Q129" s="56">
        <f>ROUND((1289*$T$1),0)*1.05</f>
        <v>1353.45</v>
      </c>
    </row>
    <row r="130" spans="1:20" ht="19.5" customHeight="1" x14ac:dyDescent="0.3">
      <c r="A130" s="42"/>
      <c r="B130" s="50" t="s">
        <v>171</v>
      </c>
      <c r="C130" s="51" t="s">
        <v>45</v>
      </c>
      <c r="D130" s="52" t="s">
        <v>154</v>
      </c>
      <c r="E130" s="53" t="s">
        <v>47</v>
      </c>
      <c r="F130" s="54">
        <v>0.68</v>
      </c>
      <c r="G130" s="53" t="s">
        <v>48</v>
      </c>
      <c r="H130" s="54">
        <v>0.5</v>
      </c>
      <c r="I130" s="55">
        <v>3</v>
      </c>
      <c r="J130" s="56">
        <f>ROUND((961*$T$1),0)*1.05</f>
        <v>1009.0500000000001</v>
      </c>
      <c r="K130" s="56">
        <f>ROUND((1068*$T$1),0)*1.05</f>
        <v>1121.4000000000001</v>
      </c>
      <c r="L130" s="56">
        <f>ROUND((1087*$T$1),0)*1.05</f>
        <v>1141.3500000000001</v>
      </c>
      <c r="M130" s="56">
        <f>ROUND((1109*$T$1),0)*1.05</f>
        <v>1164.45</v>
      </c>
      <c r="N130" s="56">
        <f>ROUND((1129*$T$1),0)*1.05</f>
        <v>1185.45</v>
      </c>
      <c r="O130" s="56">
        <f>ROUND((1142*$T$1),0)*1.05</f>
        <v>1199.1000000000001</v>
      </c>
      <c r="P130" s="56">
        <f>ROUND((1180*$T$1),0)*1.05</f>
        <v>1239</v>
      </c>
      <c r="Q130" s="56">
        <f>ROUND((1243*$T$1),0)*1.05</f>
        <v>1305.1500000000001</v>
      </c>
    </row>
    <row r="131" spans="1:20" ht="19.5" customHeight="1" x14ac:dyDescent="0.3">
      <c r="A131" s="42"/>
      <c r="B131" s="50" t="s">
        <v>172</v>
      </c>
      <c r="C131" s="51" t="s">
        <v>45</v>
      </c>
      <c r="D131" s="52" t="s">
        <v>156</v>
      </c>
      <c r="E131" s="53" t="s">
        <v>47</v>
      </c>
      <c r="F131" s="54">
        <v>0.68</v>
      </c>
      <c r="G131" s="53" t="s">
        <v>48</v>
      </c>
      <c r="H131" s="54">
        <v>0.5</v>
      </c>
      <c r="I131" s="55">
        <v>3</v>
      </c>
      <c r="J131" s="56">
        <f>ROUND((936*$T$1),0)*1.05</f>
        <v>982.80000000000007</v>
      </c>
      <c r="K131" s="56">
        <f>ROUND((1040*$T$1),0)*1.05</f>
        <v>1092</v>
      </c>
      <c r="L131" s="56">
        <f>ROUND((1057*$T$1),0)*1.05</f>
        <v>1109.8500000000001</v>
      </c>
      <c r="M131" s="56">
        <f>ROUND((1106*$T$1),0)*1.05</f>
        <v>1161.3</v>
      </c>
      <c r="N131" s="56">
        <f>ROUND((1095*$T$1),0)*1.05</f>
        <v>1149.75</v>
      </c>
      <c r="O131" s="56">
        <f>ROUND((1107*$T$1),0)*1.05</f>
        <v>1162.3500000000001</v>
      </c>
      <c r="P131" s="56">
        <f>ROUND((1142*$T$1),0)*1.05</f>
        <v>1199.1000000000001</v>
      </c>
      <c r="Q131" s="56">
        <f>ROUND((1199*$T$1),0)*1.05</f>
        <v>1258.95</v>
      </c>
    </row>
    <row r="132" spans="1:20" ht="19.5" customHeight="1" x14ac:dyDescent="0.3">
      <c r="A132" s="42"/>
      <c r="B132" s="50" t="s">
        <v>173</v>
      </c>
      <c r="C132" s="51" t="s">
        <v>45</v>
      </c>
      <c r="D132" s="52" t="s">
        <v>158</v>
      </c>
      <c r="E132" s="53" t="s">
        <v>47</v>
      </c>
      <c r="F132" s="54">
        <v>0.68</v>
      </c>
      <c r="G132" s="53" t="s">
        <v>48</v>
      </c>
      <c r="H132" s="54">
        <v>0.5</v>
      </c>
      <c r="I132" s="55">
        <v>3</v>
      </c>
      <c r="J132" s="56">
        <f>ROUND((800*$T$1),0)*1.05</f>
        <v>840</v>
      </c>
      <c r="K132" s="56">
        <f>ROUND((889*$T$1),0)*1.05</f>
        <v>933.45</v>
      </c>
      <c r="L132" s="56">
        <f>ROUND((905*$T$1),0)*1.05</f>
        <v>950.25</v>
      </c>
      <c r="M132" s="56">
        <f>ROUND((922*$T$1),0)*1.05</f>
        <v>968.1</v>
      </c>
      <c r="N132" s="56">
        <f>ROUND((940*$T$1),0)*1.05</f>
        <v>987</v>
      </c>
      <c r="O132" s="56">
        <f>ROUND((950*$T$1),0)*1.05</f>
        <v>997.5</v>
      </c>
      <c r="P132" s="56">
        <f>ROUND((981*$T$1),0)*1.05</f>
        <v>1030.05</v>
      </c>
      <c r="Q132" s="56">
        <f>ROUND((1034*$T$1),0)*1.05</f>
        <v>1085.7</v>
      </c>
    </row>
    <row r="133" spans="1:20" ht="19.5" customHeight="1" x14ac:dyDescent="0.3">
      <c r="A133" s="42"/>
      <c r="B133" s="50" t="s">
        <v>174</v>
      </c>
      <c r="C133" s="51" t="s">
        <v>45</v>
      </c>
      <c r="D133" s="52" t="s">
        <v>160</v>
      </c>
      <c r="E133" s="53" t="s">
        <v>47</v>
      </c>
      <c r="F133" s="54">
        <v>0.68</v>
      </c>
      <c r="G133" s="53" t="s">
        <v>48</v>
      </c>
      <c r="H133" s="54">
        <v>0.5</v>
      </c>
      <c r="I133" s="55">
        <v>3</v>
      </c>
      <c r="J133" s="56">
        <f>ROUND((774*$T$1),0)*1.05</f>
        <v>812.7</v>
      </c>
      <c r="K133" s="56">
        <f>ROUND((860*$T$1),0)*1.05</f>
        <v>903</v>
      </c>
      <c r="L133" s="56">
        <f>ROUND((874*$T$1),0)*1.05</f>
        <v>917.7</v>
      </c>
      <c r="M133" s="56">
        <f>ROUND((890*$T$1),0)*1.05</f>
        <v>934.5</v>
      </c>
      <c r="N133" s="56">
        <f>ROUND((905*$T$1),0)*1.05</f>
        <v>950.25</v>
      </c>
      <c r="O133" s="56">
        <f>ROUND((915*$T$1),0)*1.05</f>
        <v>960.75</v>
      </c>
      <c r="P133" s="56">
        <f>ROUND((943*$T$1),0)*1.05</f>
        <v>990.15000000000009</v>
      </c>
      <c r="Q133" s="56">
        <f>ROUND((990*$T$1),0)*1.05</f>
        <v>1039.5</v>
      </c>
    </row>
    <row r="134" spans="1:20" ht="19.5" customHeight="1" x14ac:dyDescent="0.3">
      <c r="A134" s="42"/>
      <c r="B134" s="63"/>
      <c r="C134" s="64"/>
      <c r="D134" s="65"/>
      <c r="E134" s="49"/>
      <c r="F134" s="66"/>
      <c r="G134" s="48"/>
      <c r="H134" s="66"/>
      <c r="I134" s="48"/>
      <c r="J134" s="49"/>
      <c r="K134" s="49"/>
      <c r="L134" s="49"/>
      <c r="M134" s="87" t="s">
        <v>134</v>
      </c>
      <c r="N134" s="49"/>
      <c r="O134" s="49"/>
      <c r="P134" s="49"/>
      <c r="Q134" s="49"/>
    </row>
    <row r="135" spans="1:20" ht="27.75" customHeight="1" x14ac:dyDescent="0.25">
      <c r="A135" s="189" t="s">
        <v>175</v>
      </c>
      <c r="B135" s="189"/>
      <c r="C135" s="187" t="s">
        <v>41</v>
      </c>
      <c r="D135" s="187"/>
      <c r="E135" s="187"/>
      <c r="F135" s="187"/>
      <c r="G135" s="187"/>
      <c r="H135" s="187"/>
      <c r="I135" s="78" t="s">
        <v>42</v>
      </c>
      <c r="J135" s="41" t="s">
        <v>43</v>
      </c>
      <c r="K135" s="41">
        <v>1000</v>
      </c>
      <c r="L135" s="41">
        <v>2000</v>
      </c>
      <c r="M135" s="41">
        <v>3000</v>
      </c>
      <c r="N135" s="41">
        <v>4000</v>
      </c>
      <c r="O135" s="41">
        <v>5000</v>
      </c>
      <c r="P135" s="41">
        <v>6000</v>
      </c>
      <c r="Q135" s="41">
        <v>7000</v>
      </c>
    </row>
    <row r="136" spans="1:20" ht="19.5" customHeight="1" x14ac:dyDescent="0.3">
      <c r="A136" s="42"/>
      <c r="B136" s="50" t="s">
        <v>176</v>
      </c>
      <c r="C136" s="51" t="s">
        <v>45</v>
      </c>
      <c r="D136" s="54">
        <v>1.3</v>
      </c>
      <c r="E136" s="53" t="s">
        <v>47</v>
      </c>
      <c r="F136" s="54">
        <v>1.1499999999999999</v>
      </c>
      <c r="G136" s="53" t="s">
        <v>48</v>
      </c>
      <c r="H136" s="90">
        <v>0.9</v>
      </c>
      <c r="I136" s="55">
        <v>11</v>
      </c>
      <c r="J136" s="56">
        <v>3343</v>
      </c>
      <c r="K136" s="56">
        <v>3556</v>
      </c>
      <c r="L136" s="56">
        <v>3740</v>
      </c>
      <c r="M136" s="56">
        <v>3925</v>
      </c>
      <c r="N136" s="56">
        <v>4108</v>
      </c>
      <c r="O136" s="56">
        <v>4293</v>
      </c>
      <c r="P136" s="56">
        <f>4293+185</f>
        <v>4478</v>
      </c>
      <c r="Q136" s="56">
        <f>4478+185</f>
        <v>4663</v>
      </c>
      <c r="R136" s="33"/>
      <c r="S136" s="33"/>
      <c r="T136" s="33"/>
    </row>
    <row r="137" spans="1:20" ht="19.5" customHeight="1" x14ac:dyDescent="0.3">
      <c r="A137" s="42"/>
      <c r="B137" s="50" t="s">
        <v>177</v>
      </c>
      <c r="C137" s="51" t="s">
        <v>45</v>
      </c>
      <c r="D137" s="54">
        <v>1.2</v>
      </c>
      <c r="E137" s="53" t="s">
        <v>47</v>
      </c>
      <c r="F137" s="54">
        <v>1.1499999999999999</v>
      </c>
      <c r="G137" s="53" t="s">
        <v>48</v>
      </c>
      <c r="H137" s="90">
        <v>0.9</v>
      </c>
      <c r="I137" s="55">
        <v>10.8</v>
      </c>
      <c r="J137" s="56">
        <v>3183</v>
      </c>
      <c r="K137" s="56">
        <v>3387</v>
      </c>
      <c r="L137" s="56">
        <v>3562</v>
      </c>
      <c r="M137" s="56">
        <v>3738</v>
      </c>
      <c r="N137" s="56">
        <v>3914</v>
      </c>
      <c r="O137" s="56">
        <v>4090</v>
      </c>
      <c r="P137" s="56">
        <f>4090+176</f>
        <v>4266</v>
      </c>
      <c r="Q137" s="56">
        <f>4266+176</f>
        <v>4442</v>
      </c>
      <c r="R137" s="33"/>
      <c r="S137" s="33"/>
      <c r="T137" s="33"/>
    </row>
    <row r="138" spans="1:20" ht="19.5" customHeight="1" x14ac:dyDescent="0.3">
      <c r="A138" s="42"/>
      <c r="B138" s="50" t="s">
        <v>178</v>
      </c>
      <c r="C138" s="51" t="s">
        <v>45</v>
      </c>
      <c r="D138" s="54">
        <v>1.1000000000000001</v>
      </c>
      <c r="E138" s="53" t="s">
        <v>47</v>
      </c>
      <c r="F138" s="54">
        <v>1.1499999999999999</v>
      </c>
      <c r="G138" s="53" t="s">
        <v>48</v>
      </c>
      <c r="H138" s="90">
        <v>0.9</v>
      </c>
      <c r="I138" s="55">
        <v>10.8</v>
      </c>
      <c r="J138" s="56">
        <v>3032</v>
      </c>
      <c r="K138" s="56">
        <v>3225</v>
      </c>
      <c r="L138" s="56">
        <v>3392</v>
      </c>
      <c r="M138" s="56">
        <v>3560</v>
      </c>
      <c r="N138" s="56">
        <v>3727</v>
      </c>
      <c r="O138" s="56">
        <v>3894</v>
      </c>
      <c r="P138" s="56">
        <f>3894+168</f>
        <v>4062</v>
      </c>
      <c r="Q138" s="56">
        <f>4062+168</f>
        <v>4230</v>
      </c>
      <c r="R138" s="33"/>
      <c r="S138" s="33"/>
      <c r="T138" s="33"/>
    </row>
    <row r="139" spans="1:20" ht="19.5" customHeight="1" x14ac:dyDescent="0.3">
      <c r="A139" s="42"/>
      <c r="B139" s="50" t="s">
        <v>179</v>
      </c>
      <c r="C139" s="51" t="s">
        <v>45</v>
      </c>
      <c r="D139" s="54">
        <v>1</v>
      </c>
      <c r="E139" s="53" t="s">
        <v>47</v>
      </c>
      <c r="F139" s="54">
        <v>1.1499999999999999</v>
      </c>
      <c r="G139" s="53" t="s">
        <v>48</v>
      </c>
      <c r="H139" s="90">
        <v>0.9</v>
      </c>
      <c r="I139" s="55">
        <v>10.6</v>
      </c>
      <c r="J139" s="56">
        <v>2880</v>
      </c>
      <c r="K139" s="56">
        <v>3065</v>
      </c>
      <c r="L139" s="56">
        <v>3223</v>
      </c>
      <c r="M139" s="56">
        <v>3381</v>
      </c>
      <c r="N139" s="56">
        <v>3541</v>
      </c>
      <c r="O139" s="56">
        <v>3700</v>
      </c>
      <c r="P139" s="56">
        <f>3700+158</f>
        <v>3858</v>
      </c>
      <c r="Q139" s="56">
        <f>3858+159</f>
        <v>4017</v>
      </c>
      <c r="R139" s="33"/>
      <c r="S139" s="33"/>
      <c r="T139" s="33"/>
    </row>
    <row r="140" spans="1:20" ht="19.5" customHeight="1" x14ac:dyDescent="0.3">
      <c r="A140" s="42"/>
      <c r="B140" s="51"/>
      <c r="C140" s="51"/>
      <c r="D140" s="54"/>
      <c r="E140" s="53"/>
      <c r="F140" s="54"/>
      <c r="G140" s="53"/>
      <c r="H140" s="90"/>
      <c r="I140" s="55"/>
      <c r="J140" s="56"/>
      <c r="K140" s="56"/>
      <c r="L140" s="56"/>
      <c r="M140" s="56"/>
      <c r="N140" s="56"/>
      <c r="O140" s="56"/>
      <c r="P140" s="56"/>
      <c r="Q140" s="56"/>
      <c r="R140" s="33"/>
      <c r="S140" s="33"/>
      <c r="T140" s="33"/>
    </row>
    <row r="141" spans="1:20" ht="19.5" customHeight="1" x14ac:dyDescent="0.3">
      <c r="A141" s="42"/>
      <c r="B141" s="50" t="s">
        <v>180</v>
      </c>
      <c r="C141" s="51" t="s">
        <v>45</v>
      </c>
      <c r="D141" s="54">
        <v>1.2</v>
      </c>
      <c r="E141" s="53" t="s">
        <v>47</v>
      </c>
      <c r="F141" s="54">
        <v>1.1499999999999999</v>
      </c>
      <c r="G141" s="53" t="s">
        <v>48</v>
      </c>
      <c r="H141" s="90">
        <v>0.9</v>
      </c>
      <c r="I141" s="55">
        <v>10</v>
      </c>
      <c r="J141" s="56">
        <v>3008</v>
      </c>
      <c r="K141" s="56">
        <v>3200</v>
      </c>
      <c r="L141" s="56">
        <v>3366</v>
      </c>
      <c r="M141" s="56">
        <v>3531</v>
      </c>
      <c r="N141" s="56">
        <v>3699</v>
      </c>
      <c r="O141" s="56">
        <v>3864</v>
      </c>
      <c r="P141" s="56">
        <f>3864+165</f>
        <v>4029</v>
      </c>
      <c r="Q141" s="56">
        <f>4029+165</f>
        <v>4194</v>
      </c>
      <c r="R141" s="33"/>
      <c r="S141" s="33"/>
      <c r="T141" s="33"/>
    </row>
    <row r="142" spans="1:20" ht="19.5" customHeight="1" x14ac:dyDescent="0.3">
      <c r="A142" s="42"/>
      <c r="B142" s="50" t="s">
        <v>181</v>
      </c>
      <c r="C142" s="51" t="s">
        <v>45</v>
      </c>
      <c r="D142" s="54">
        <v>1.1000000000000001</v>
      </c>
      <c r="E142" s="53" t="s">
        <v>47</v>
      </c>
      <c r="F142" s="54">
        <v>1.1499999999999999</v>
      </c>
      <c r="G142" s="53" t="s">
        <v>48</v>
      </c>
      <c r="H142" s="90">
        <v>0.9</v>
      </c>
      <c r="I142" s="55">
        <v>9.8000000000000007</v>
      </c>
      <c r="J142" s="56">
        <v>2864</v>
      </c>
      <c r="K142" s="56">
        <v>2864</v>
      </c>
      <c r="L142" s="56">
        <v>3205</v>
      </c>
      <c r="M142" s="56">
        <v>3363</v>
      </c>
      <c r="N142" s="56">
        <v>3522</v>
      </c>
      <c r="O142" s="56">
        <v>3679</v>
      </c>
      <c r="P142" s="56">
        <f>3679+158</f>
        <v>3837</v>
      </c>
      <c r="Q142" s="56">
        <f>3837+157</f>
        <v>3994</v>
      </c>
      <c r="R142" s="33"/>
      <c r="S142" s="33"/>
      <c r="T142" s="33"/>
    </row>
    <row r="143" spans="1:20" ht="19.5" customHeight="1" x14ac:dyDescent="0.3">
      <c r="A143" s="42"/>
      <c r="B143" s="50" t="s">
        <v>182</v>
      </c>
      <c r="C143" s="51" t="s">
        <v>45</v>
      </c>
      <c r="D143" s="54">
        <v>1</v>
      </c>
      <c r="E143" s="53" t="s">
        <v>47</v>
      </c>
      <c r="F143" s="54">
        <v>1.1499999999999999</v>
      </c>
      <c r="G143" s="53" t="s">
        <v>48</v>
      </c>
      <c r="H143" s="90">
        <v>0.9</v>
      </c>
      <c r="I143" s="55">
        <v>9.8000000000000007</v>
      </c>
      <c r="J143" s="56">
        <v>2728</v>
      </c>
      <c r="K143" s="56">
        <v>2728</v>
      </c>
      <c r="L143" s="56">
        <v>3052</v>
      </c>
      <c r="M143" s="56">
        <v>3203</v>
      </c>
      <c r="N143" s="56">
        <v>3354</v>
      </c>
      <c r="O143" s="56">
        <v>3504</v>
      </c>
      <c r="P143" s="56">
        <f>3504+150</f>
        <v>3654</v>
      </c>
      <c r="Q143" s="56">
        <f>3654+150</f>
        <v>3804</v>
      </c>
      <c r="R143" s="33"/>
      <c r="S143" s="33"/>
      <c r="T143" s="33"/>
    </row>
    <row r="144" spans="1:20" ht="19.5" customHeight="1" x14ac:dyDescent="0.3">
      <c r="A144" s="42"/>
      <c r="B144" s="50" t="s">
        <v>183</v>
      </c>
      <c r="C144" s="51" t="s">
        <v>45</v>
      </c>
      <c r="D144" s="54">
        <v>0.9</v>
      </c>
      <c r="E144" s="53" t="s">
        <v>47</v>
      </c>
      <c r="F144" s="54">
        <v>1.1499999999999999</v>
      </c>
      <c r="G144" s="53" t="s">
        <v>48</v>
      </c>
      <c r="H144" s="90">
        <v>0.9</v>
      </c>
      <c r="I144" s="55">
        <v>9.6</v>
      </c>
      <c r="J144" s="56">
        <v>2593</v>
      </c>
      <c r="K144" s="56">
        <v>2593</v>
      </c>
      <c r="L144" s="56">
        <v>2901</v>
      </c>
      <c r="M144" s="56">
        <v>3042</v>
      </c>
      <c r="N144" s="56">
        <v>3186</v>
      </c>
      <c r="O144" s="56">
        <v>3330</v>
      </c>
      <c r="P144" s="56">
        <f>3330+144</f>
        <v>3474</v>
      </c>
      <c r="Q144" s="56">
        <f>3474+144</f>
        <v>3618</v>
      </c>
      <c r="R144" s="33"/>
      <c r="S144" s="33"/>
      <c r="T144" s="33"/>
    </row>
    <row r="145" spans="1:17" ht="19.5" customHeight="1" x14ac:dyDescent="0.3">
      <c r="A145" s="42"/>
      <c r="B145" s="51"/>
      <c r="C145" s="51"/>
      <c r="D145" s="54"/>
      <c r="E145" s="53"/>
      <c r="F145" s="54"/>
      <c r="G145" s="53"/>
      <c r="H145" s="90"/>
      <c r="I145" s="55"/>
      <c r="J145" s="56"/>
      <c r="K145" s="56"/>
      <c r="L145" s="56"/>
      <c r="M145" s="56"/>
      <c r="N145" s="56"/>
      <c r="O145" s="56"/>
      <c r="P145" s="56"/>
      <c r="Q145" s="56"/>
    </row>
    <row r="146" spans="1:17" ht="19.5" customHeight="1" x14ac:dyDescent="0.3">
      <c r="A146" s="42"/>
      <c r="B146" s="50" t="s">
        <v>184</v>
      </c>
      <c r="C146" s="51"/>
      <c r="D146" s="54"/>
      <c r="E146" s="53"/>
      <c r="F146" s="54"/>
      <c r="G146" s="53"/>
      <c r="H146" s="90"/>
      <c r="I146" s="55"/>
      <c r="K146" s="56">
        <f>ROUND((1734*$T$1),0)*1.05</f>
        <v>1820.7</v>
      </c>
      <c r="L146" s="56"/>
      <c r="M146" s="56"/>
      <c r="N146" s="56"/>
      <c r="O146" s="56"/>
      <c r="P146" s="56"/>
      <c r="Q146" s="56"/>
    </row>
    <row r="147" spans="1:17" ht="19.5" customHeight="1" x14ac:dyDescent="0.3">
      <c r="A147" s="42"/>
      <c r="B147" s="50" t="s">
        <v>185</v>
      </c>
      <c r="C147" s="51"/>
      <c r="D147" s="54"/>
      <c r="E147" s="53"/>
      <c r="F147" s="54"/>
      <c r="G147" s="53"/>
      <c r="H147" s="90"/>
      <c r="I147" s="55"/>
      <c r="K147" s="56">
        <f>ROUND((2765*$T$1),0)*1.05</f>
        <v>2903.25</v>
      </c>
      <c r="L147" s="56"/>
      <c r="M147" s="56"/>
      <c r="N147" s="56"/>
      <c r="O147" s="56"/>
      <c r="P147" s="56"/>
      <c r="Q147" s="56"/>
    </row>
    <row r="148" spans="1:17" ht="19.5" customHeight="1" x14ac:dyDescent="0.3">
      <c r="A148" s="42"/>
      <c r="B148" s="50" t="s">
        <v>186</v>
      </c>
      <c r="C148" s="51"/>
      <c r="D148" s="54"/>
      <c r="E148" s="53"/>
      <c r="F148" s="54"/>
      <c r="G148" s="53"/>
      <c r="H148" s="90"/>
      <c r="I148" s="55"/>
      <c r="K148" s="56">
        <f>ROUND((3795*$T$1),0)*1.05</f>
        <v>3984.75</v>
      </c>
      <c r="L148" s="56"/>
      <c r="M148" s="56"/>
      <c r="N148" s="56"/>
      <c r="O148" s="56"/>
      <c r="P148" s="56"/>
      <c r="Q148" s="56"/>
    </row>
    <row r="149" spans="1:17" ht="19.5" customHeight="1" x14ac:dyDescent="0.3">
      <c r="A149" s="42"/>
      <c r="B149" s="44"/>
      <c r="C149" s="44"/>
      <c r="D149" s="47"/>
      <c r="E149" s="46"/>
      <c r="F149" s="47"/>
      <c r="G149" s="46"/>
      <c r="H149" s="57"/>
      <c r="I149" s="48"/>
      <c r="K149" s="49"/>
      <c r="L149" s="49"/>
      <c r="M149" s="49"/>
      <c r="N149" s="49"/>
      <c r="O149" s="49"/>
      <c r="P149" s="49"/>
      <c r="Q149" s="49"/>
    </row>
    <row r="150" spans="1:17" ht="19.5" customHeight="1" x14ac:dyDescent="0.3">
      <c r="A150" s="42"/>
      <c r="B150" s="51" t="s">
        <v>187</v>
      </c>
      <c r="C150" s="44"/>
      <c r="D150" s="47"/>
      <c r="E150" s="46"/>
      <c r="F150" s="47"/>
      <c r="G150" s="46"/>
      <c r="H150" s="57"/>
      <c r="I150" s="48"/>
      <c r="K150" s="49">
        <f>ROUND((220*$T$1),0)*1.05</f>
        <v>231</v>
      </c>
      <c r="L150" s="49"/>
      <c r="M150" s="49"/>
      <c r="N150" s="49"/>
      <c r="O150" s="49"/>
      <c r="P150" s="49"/>
      <c r="Q150" s="49"/>
    </row>
    <row r="151" spans="1:17" ht="19.5" customHeight="1" x14ac:dyDescent="0.3">
      <c r="A151" s="42"/>
      <c r="B151" s="51" t="s">
        <v>188</v>
      </c>
      <c r="C151" s="44"/>
      <c r="D151" s="47"/>
      <c r="E151" s="46"/>
      <c r="F151" s="47"/>
      <c r="G151" s="46"/>
      <c r="H151" s="57"/>
      <c r="I151" s="48"/>
      <c r="K151" s="91">
        <f>ROUND((132*$T$1),0)*1.05</f>
        <v>138.6</v>
      </c>
      <c r="L151" s="49"/>
      <c r="M151" s="49"/>
      <c r="N151" s="49"/>
      <c r="O151" s="49"/>
      <c r="P151" s="49"/>
      <c r="Q151" s="49"/>
    </row>
    <row r="152" spans="1:17" ht="19.5" customHeight="1" x14ac:dyDescent="0.3">
      <c r="A152" s="42"/>
      <c r="B152" s="51" t="s">
        <v>189</v>
      </c>
      <c r="C152" s="44"/>
      <c r="D152" s="47"/>
      <c r="E152" s="46"/>
      <c r="F152" s="47"/>
      <c r="G152" s="46"/>
      <c r="H152" s="57"/>
      <c r="I152" s="48"/>
      <c r="K152" s="49">
        <f>ROUND((132*$T$1),0)*1.05</f>
        <v>138.6</v>
      </c>
      <c r="L152" s="49"/>
      <c r="M152" s="49"/>
      <c r="N152" s="49"/>
      <c r="O152" s="49"/>
      <c r="P152" s="49"/>
      <c r="Q152" s="49"/>
    </row>
    <row r="153" spans="1:17" ht="19.5" customHeight="1" x14ac:dyDescent="0.3">
      <c r="A153" s="42"/>
      <c r="B153" s="44"/>
      <c r="C153" s="44"/>
      <c r="D153" s="47"/>
      <c r="E153" s="46"/>
      <c r="F153" s="47"/>
      <c r="G153" s="46"/>
      <c r="H153" s="57"/>
      <c r="I153" s="48"/>
      <c r="J153" s="49"/>
      <c r="K153" s="49"/>
      <c r="L153" s="49"/>
      <c r="M153" s="49"/>
      <c r="N153" s="49"/>
      <c r="O153" s="49"/>
      <c r="P153" s="49"/>
      <c r="Q153" s="49"/>
    </row>
    <row r="154" spans="1:17" ht="19.5" customHeight="1" x14ac:dyDescent="0.35">
      <c r="A154" s="42"/>
      <c r="B154" s="92" t="s">
        <v>190</v>
      </c>
      <c r="C154" s="44"/>
      <c r="D154" s="47"/>
      <c r="E154" s="46"/>
      <c r="F154" s="47"/>
      <c r="G154" s="46"/>
      <c r="H154" s="57"/>
      <c r="I154" s="48"/>
      <c r="J154" s="49"/>
      <c r="K154" s="49"/>
      <c r="L154" s="49"/>
      <c r="M154" s="49"/>
      <c r="N154" s="49"/>
      <c r="O154" s="49"/>
      <c r="P154" s="49"/>
      <c r="Q154" s="49"/>
    </row>
    <row r="155" spans="1:17" ht="19.5" customHeight="1" x14ac:dyDescent="0.3">
      <c r="A155" s="42"/>
      <c r="B155" s="44"/>
      <c r="C155" s="44"/>
      <c r="D155" s="47"/>
      <c r="E155" s="46"/>
      <c r="F155" s="47"/>
      <c r="G155" s="46"/>
      <c r="H155" s="57"/>
      <c r="I155" s="48"/>
      <c r="J155" s="49"/>
      <c r="K155" s="49"/>
      <c r="L155" s="49"/>
      <c r="M155" s="49"/>
      <c r="N155" s="49"/>
      <c r="O155" s="49"/>
      <c r="P155" s="49"/>
      <c r="Q155" s="49"/>
    </row>
    <row r="156" spans="1:17" ht="19.5" customHeight="1" x14ac:dyDescent="0.3">
      <c r="A156" s="93"/>
      <c r="B156" s="43" t="s">
        <v>191</v>
      </c>
      <c r="C156" s="44" t="s">
        <v>45</v>
      </c>
      <c r="D156" s="54">
        <v>1.3</v>
      </c>
      <c r="E156" s="46" t="s">
        <v>47</v>
      </c>
      <c r="F156" s="54">
        <v>1.1499999999999999</v>
      </c>
      <c r="G156" s="46" t="s">
        <v>48</v>
      </c>
      <c r="H156" s="90">
        <v>0.9</v>
      </c>
      <c r="I156" s="48">
        <v>11</v>
      </c>
      <c r="J156" s="56">
        <v>3343</v>
      </c>
      <c r="K156" s="56">
        <v>3556</v>
      </c>
      <c r="L156" s="56">
        <v>3740</v>
      </c>
      <c r="M156" s="56">
        <v>3925</v>
      </c>
      <c r="N156" s="56">
        <v>4108</v>
      </c>
      <c r="O156" s="56">
        <v>4293</v>
      </c>
      <c r="P156" s="56">
        <f>4293+185</f>
        <v>4478</v>
      </c>
      <c r="Q156" s="56">
        <f>4478+185</f>
        <v>4663</v>
      </c>
    </row>
    <row r="157" spans="1:17" ht="19.5" customHeight="1" x14ac:dyDescent="0.3">
      <c r="A157" s="42"/>
      <c r="B157" s="43" t="s">
        <v>192</v>
      </c>
      <c r="C157" s="44" t="s">
        <v>45</v>
      </c>
      <c r="D157" s="54">
        <v>1.2</v>
      </c>
      <c r="E157" s="46" t="s">
        <v>47</v>
      </c>
      <c r="F157" s="54">
        <v>1.1499999999999999</v>
      </c>
      <c r="G157" s="46" t="s">
        <v>48</v>
      </c>
      <c r="H157" s="90">
        <v>0.9</v>
      </c>
      <c r="I157" s="48">
        <v>10.8</v>
      </c>
      <c r="J157" s="56">
        <v>3183</v>
      </c>
      <c r="K157" s="56">
        <v>3387</v>
      </c>
      <c r="L157" s="56">
        <v>3562</v>
      </c>
      <c r="M157" s="56">
        <v>3738</v>
      </c>
      <c r="N157" s="56">
        <v>3914</v>
      </c>
      <c r="O157" s="56">
        <v>4090</v>
      </c>
      <c r="P157" s="56">
        <f>4090+176</f>
        <v>4266</v>
      </c>
      <c r="Q157" s="56">
        <f>4266+176</f>
        <v>4442</v>
      </c>
    </row>
    <row r="158" spans="1:17" ht="19.5" customHeight="1" x14ac:dyDescent="0.3">
      <c r="A158" s="42"/>
      <c r="B158" s="43" t="s">
        <v>193</v>
      </c>
      <c r="C158" s="44" t="s">
        <v>45</v>
      </c>
      <c r="D158" s="54">
        <v>1.1000000000000001</v>
      </c>
      <c r="E158" s="46" t="s">
        <v>47</v>
      </c>
      <c r="F158" s="54">
        <v>1.1499999999999999</v>
      </c>
      <c r="G158" s="46" t="s">
        <v>48</v>
      </c>
      <c r="H158" s="90">
        <v>0.9</v>
      </c>
      <c r="I158" s="48">
        <v>10.8</v>
      </c>
      <c r="J158" s="56">
        <v>3032</v>
      </c>
      <c r="K158" s="56">
        <v>3225</v>
      </c>
      <c r="L158" s="56">
        <v>3392</v>
      </c>
      <c r="M158" s="56">
        <v>3560</v>
      </c>
      <c r="N158" s="56">
        <v>3727</v>
      </c>
      <c r="O158" s="56">
        <v>3894</v>
      </c>
      <c r="P158" s="56">
        <f>3894+168</f>
        <v>4062</v>
      </c>
      <c r="Q158" s="56">
        <f>4062+168</f>
        <v>4230</v>
      </c>
    </row>
    <row r="159" spans="1:17" ht="19.5" customHeight="1" x14ac:dyDescent="0.3">
      <c r="A159" s="42"/>
      <c r="B159" s="43" t="s">
        <v>194</v>
      </c>
      <c r="C159" s="44" t="s">
        <v>45</v>
      </c>
      <c r="D159" s="54">
        <v>1</v>
      </c>
      <c r="E159" s="46" t="s">
        <v>47</v>
      </c>
      <c r="F159" s="54">
        <v>1.1499999999999999</v>
      </c>
      <c r="G159" s="46" t="s">
        <v>48</v>
      </c>
      <c r="H159" s="90">
        <v>0.9</v>
      </c>
      <c r="I159" s="48">
        <v>10.6</v>
      </c>
      <c r="J159" s="56">
        <v>2880</v>
      </c>
      <c r="K159" s="56">
        <v>3065</v>
      </c>
      <c r="L159" s="56">
        <v>3223</v>
      </c>
      <c r="M159" s="56">
        <v>3381</v>
      </c>
      <c r="N159" s="56">
        <v>3541</v>
      </c>
      <c r="O159" s="56">
        <v>3700</v>
      </c>
      <c r="P159" s="56">
        <f>3700+158</f>
        <v>3858</v>
      </c>
      <c r="Q159" s="56">
        <f>3858+159</f>
        <v>4017</v>
      </c>
    </row>
    <row r="160" spans="1:17" ht="19.5" customHeight="1" x14ac:dyDescent="0.3">
      <c r="A160" s="42"/>
      <c r="B160" s="94"/>
      <c r="C160" s="44"/>
      <c r="D160" s="47"/>
      <c r="E160" s="46"/>
      <c r="F160" s="47"/>
      <c r="G160" s="46"/>
      <c r="H160" s="57"/>
      <c r="I160" s="48"/>
      <c r="J160" s="56"/>
      <c r="K160" s="56"/>
      <c r="L160" s="56"/>
      <c r="M160" s="56"/>
      <c r="N160" s="56"/>
      <c r="O160" s="56"/>
      <c r="P160" s="56"/>
      <c r="Q160" s="56"/>
    </row>
    <row r="161" spans="1:17" ht="19.5" customHeight="1" x14ac:dyDescent="0.3">
      <c r="A161" s="93"/>
      <c r="B161" s="43" t="s">
        <v>195</v>
      </c>
      <c r="C161" s="44" t="s">
        <v>45</v>
      </c>
      <c r="D161" s="54">
        <v>1.2</v>
      </c>
      <c r="E161" s="46" t="s">
        <v>47</v>
      </c>
      <c r="F161" s="54">
        <v>1.1499999999999999</v>
      </c>
      <c r="G161" s="46" t="s">
        <v>48</v>
      </c>
      <c r="H161" s="90">
        <v>0.9</v>
      </c>
      <c r="I161" s="48">
        <v>10</v>
      </c>
      <c r="J161" s="56">
        <v>3008</v>
      </c>
      <c r="K161" s="56">
        <v>3200</v>
      </c>
      <c r="L161" s="56">
        <v>3366</v>
      </c>
      <c r="M161" s="56">
        <v>3531</v>
      </c>
      <c r="N161" s="56">
        <v>3699</v>
      </c>
      <c r="O161" s="56">
        <v>3864</v>
      </c>
      <c r="P161" s="56">
        <f>3864+165</f>
        <v>4029</v>
      </c>
      <c r="Q161" s="56">
        <f>4029+165</f>
        <v>4194</v>
      </c>
    </row>
    <row r="162" spans="1:17" ht="19.5" customHeight="1" x14ac:dyDescent="0.3">
      <c r="A162" s="42"/>
      <c r="B162" s="43" t="s">
        <v>196</v>
      </c>
      <c r="C162" s="44" t="s">
        <v>45</v>
      </c>
      <c r="D162" s="54">
        <v>1.1000000000000001</v>
      </c>
      <c r="E162" s="46" t="s">
        <v>47</v>
      </c>
      <c r="F162" s="54">
        <v>1.1499999999999999</v>
      </c>
      <c r="G162" s="46" t="s">
        <v>48</v>
      </c>
      <c r="H162" s="90">
        <v>0.9</v>
      </c>
      <c r="I162" s="48">
        <v>9.8000000000000007</v>
      </c>
      <c r="J162" s="56">
        <v>2864</v>
      </c>
      <c r="K162" s="56">
        <v>2864</v>
      </c>
      <c r="L162" s="56">
        <v>3205</v>
      </c>
      <c r="M162" s="56">
        <v>3363</v>
      </c>
      <c r="N162" s="56">
        <v>3522</v>
      </c>
      <c r="O162" s="56">
        <v>3679</v>
      </c>
      <c r="P162" s="56">
        <f>3679+158</f>
        <v>3837</v>
      </c>
      <c r="Q162" s="56">
        <f>3837+157</f>
        <v>3994</v>
      </c>
    </row>
    <row r="163" spans="1:17" ht="19.5" customHeight="1" x14ac:dyDescent="0.3">
      <c r="A163" s="42"/>
      <c r="B163" s="43" t="s">
        <v>197</v>
      </c>
      <c r="C163" s="44" t="s">
        <v>45</v>
      </c>
      <c r="D163" s="54">
        <v>1</v>
      </c>
      <c r="E163" s="46" t="s">
        <v>47</v>
      </c>
      <c r="F163" s="54">
        <v>1.1499999999999999</v>
      </c>
      <c r="G163" s="46" t="s">
        <v>48</v>
      </c>
      <c r="H163" s="90">
        <v>0.9</v>
      </c>
      <c r="I163" s="48">
        <v>9.8000000000000007</v>
      </c>
      <c r="J163" s="56">
        <v>2728</v>
      </c>
      <c r="K163" s="56">
        <v>2728</v>
      </c>
      <c r="L163" s="56">
        <v>3052</v>
      </c>
      <c r="M163" s="56">
        <v>3203</v>
      </c>
      <c r="N163" s="56">
        <v>3354</v>
      </c>
      <c r="O163" s="56">
        <v>3504</v>
      </c>
      <c r="P163" s="56">
        <f>3504+150</f>
        <v>3654</v>
      </c>
      <c r="Q163" s="56">
        <f>3654+150</f>
        <v>3804</v>
      </c>
    </row>
    <row r="164" spans="1:17" ht="19.5" customHeight="1" x14ac:dyDescent="0.3">
      <c r="A164" s="42"/>
      <c r="B164" s="43" t="s">
        <v>198</v>
      </c>
      <c r="C164" s="44" t="s">
        <v>45</v>
      </c>
      <c r="D164" s="54">
        <v>0.9</v>
      </c>
      <c r="E164" s="46" t="s">
        <v>47</v>
      </c>
      <c r="F164" s="54">
        <v>1.1499999999999999</v>
      </c>
      <c r="G164" s="46" t="s">
        <v>48</v>
      </c>
      <c r="H164" s="90">
        <v>0.9</v>
      </c>
      <c r="I164" s="48">
        <v>9.6</v>
      </c>
      <c r="J164" s="56">
        <v>2593</v>
      </c>
      <c r="K164" s="56">
        <v>2593</v>
      </c>
      <c r="L164" s="56">
        <v>2901</v>
      </c>
      <c r="M164" s="56">
        <v>3042</v>
      </c>
      <c r="N164" s="56">
        <v>3186</v>
      </c>
      <c r="O164" s="56">
        <v>3330</v>
      </c>
      <c r="P164" s="56">
        <f>3330+144</f>
        <v>3474</v>
      </c>
      <c r="Q164" s="56">
        <f>3474+144</f>
        <v>3618</v>
      </c>
    </row>
    <row r="165" spans="1:17" ht="19.5" customHeight="1" x14ac:dyDescent="0.3">
      <c r="A165" s="93"/>
      <c r="B165" s="44"/>
      <c r="C165" s="44"/>
      <c r="D165" s="47"/>
      <c r="E165" s="46"/>
      <c r="F165" s="47"/>
      <c r="G165" s="46"/>
      <c r="H165" s="57"/>
      <c r="I165" s="48"/>
      <c r="J165" s="49"/>
      <c r="K165" s="49"/>
      <c r="L165" s="49"/>
      <c r="M165" s="49"/>
      <c r="N165" s="49"/>
      <c r="O165" s="49"/>
      <c r="P165" s="49"/>
      <c r="Q165" s="49"/>
    </row>
    <row r="166" spans="1:17" ht="19.5" customHeight="1" x14ac:dyDescent="0.35">
      <c r="A166" s="93"/>
      <c r="B166" s="83" t="s">
        <v>123</v>
      </c>
      <c r="C166" s="95"/>
      <c r="D166" s="95"/>
      <c r="E166" s="95"/>
      <c r="F166" s="95"/>
      <c r="G166" s="95"/>
      <c r="H166" s="95"/>
      <c r="I166" s="95"/>
      <c r="J166" s="96"/>
      <c r="K166" s="96"/>
      <c r="L166" s="96"/>
      <c r="M166" s="96"/>
      <c r="N166" s="96"/>
      <c r="O166" s="96"/>
      <c r="P166" s="96"/>
      <c r="Q166" s="96"/>
    </row>
    <row r="167" spans="1:17" ht="19.5" customHeight="1" x14ac:dyDescent="0.3">
      <c r="A167" s="42"/>
      <c r="B167" s="97"/>
      <c r="C167" s="98"/>
      <c r="D167" s="99"/>
      <c r="E167" s="99"/>
      <c r="F167" s="99"/>
      <c r="G167" s="99"/>
      <c r="H167" s="99"/>
      <c r="I167" s="100"/>
      <c r="J167" s="101"/>
      <c r="K167" s="101"/>
      <c r="L167" s="101"/>
      <c r="M167" s="101"/>
      <c r="N167" s="101"/>
      <c r="O167" s="101"/>
      <c r="P167" s="101"/>
      <c r="Q167" s="101"/>
    </row>
    <row r="168" spans="1:17" ht="19.5" customHeight="1" x14ac:dyDescent="0.3">
      <c r="A168" s="42"/>
      <c r="B168" s="59" t="s">
        <v>199</v>
      </c>
      <c r="C168" s="60"/>
      <c r="D168" s="59"/>
      <c r="E168" s="59"/>
      <c r="F168" s="59"/>
      <c r="G168" s="59"/>
      <c r="H168" s="59"/>
      <c r="I168" s="61"/>
      <c r="J168" s="62"/>
      <c r="K168" s="62"/>
      <c r="L168" s="62"/>
      <c r="M168" s="62"/>
      <c r="N168" s="62"/>
      <c r="O168" s="62"/>
      <c r="P168" s="62"/>
      <c r="Q168" s="62"/>
    </row>
    <row r="169" spans="1:17" ht="15" customHeight="1" x14ac:dyDescent="0.3">
      <c r="A169" s="42"/>
      <c r="B169" s="63"/>
      <c r="C169" s="64"/>
      <c r="D169" s="65"/>
      <c r="E169" s="49"/>
      <c r="F169" s="66"/>
      <c r="G169" s="48"/>
      <c r="H169" s="66"/>
      <c r="I169" s="48"/>
      <c r="J169" s="49"/>
      <c r="K169" s="49"/>
      <c r="L169" s="49"/>
      <c r="M169" s="49"/>
      <c r="N169" s="49"/>
      <c r="O169" s="49"/>
      <c r="P169" s="49"/>
      <c r="Q169" s="49"/>
    </row>
    <row r="170" spans="1:17" ht="29.1" customHeight="1" x14ac:dyDescent="0.25">
      <c r="A170" s="189" t="s">
        <v>200</v>
      </c>
      <c r="B170" s="189"/>
      <c r="C170" s="187" t="s">
        <v>41</v>
      </c>
      <c r="D170" s="187"/>
      <c r="E170" s="187"/>
      <c r="F170" s="187"/>
      <c r="G170" s="187"/>
      <c r="H170" s="187"/>
      <c r="I170" s="78" t="s">
        <v>42</v>
      </c>
      <c r="J170" s="41" t="s">
        <v>43</v>
      </c>
      <c r="K170" s="41">
        <v>1000</v>
      </c>
      <c r="L170" s="41">
        <v>2000</v>
      </c>
      <c r="M170" s="41">
        <v>3000</v>
      </c>
      <c r="N170" s="41">
        <v>4000</v>
      </c>
      <c r="O170" s="41">
        <v>5000</v>
      </c>
      <c r="P170" s="41">
        <v>6000</v>
      </c>
      <c r="Q170" s="41">
        <v>7000</v>
      </c>
    </row>
    <row r="171" spans="1:17" ht="19.5" customHeight="1" x14ac:dyDescent="0.3">
      <c r="A171" s="42"/>
      <c r="B171" s="50" t="s">
        <v>201</v>
      </c>
      <c r="C171" s="51" t="s">
        <v>45</v>
      </c>
      <c r="D171" s="47">
        <v>1.4</v>
      </c>
      <c r="E171" s="53" t="s">
        <v>47</v>
      </c>
      <c r="F171" s="47">
        <v>1.23</v>
      </c>
      <c r="G171" s="53" t="s">
        <v>48</v>
      </c>
      <c r="H171" s="57">
        <v>0.92</v>
      </c>
      <c r="I171" s="55">
        <v>11</v>
      </c>
      <c r="J171" s="56">
        <f>ROUND((3667*$T$1),0)*1.05</f>
        <v>3850.3500000000004</v>
      </c>
      <c r="K171" s="56">
        <f>ROUND((4074*$T$1),0)*1.05</f>
        <v>4277.7</v>
      </c>
      <c r="L171" s="56">
        <f>ROUND((4147*$T$1),0)*1.05</f>
        <v>4354.3500000000004</v>
      </c>
      <c r="M171" s="56">
        <f>ROUND((4230*$T$1),0)*1.05</f>
        <v>4441.5</v>
      </c>
      <c r="N171" s="56">
        <f>ROUND((4314*$T$1),0)*1.05</f>
        <v>4529.7</v>
      </c>
      <c r="O171" s="56">
        <f>ROUND((4363*$T$1),0)*1.05</f>
        <v>4581.1500000000005</v>
      </c>
      <c r="P171" s="56">
        <f>ROUND((4514*$T$1),0)*1.05</f>
        <v>4739.7</v>
      </c>
      <c r="Q171" s="56">
        <f>ROUND((4763*$T$1),0)*1.05</f>
        <v>5001.1500000000005</v>
      </c>
    </row>
    <row r="172" spans="1:17" ht="19.5" customHeight="1" x14ac:dyDescent="0.3">
      <c r="A172" s="42"/>
      <c r="B172" s="50" t="s">
        <v>202</v>
      </c>
      <c r="C172" s="51" t="s">
        <v>45</v>
      </c>
      <c r="D172" s="47">
        <v>1.3</v>
      </c>
      <c r="E172" s="53" t="s">
        <v>47</v>
      </c>
      <c r="F172" s="47">
        <v>1.23</v>
      </c>
      <c r="G172" s="53" t="s">
        <v>48</v>
      </c>
      <c r="H172" s="57">
        <v>0.92</v>
      </c>
      <c r="I172" s="55">
        <v>10.8</v>
      </c>
      <c r="J172" s="56">
        <f>ROUND((3575*$T$1),0)*1.05</f>
        <v>3753.75</v>
      </c>
      <c r="K172" s="56">
        <f>ROUND((3972*$T$1),0)*1.05</f>
        <v>4170.6000000000004</v>
      </c>
      <c r="L172" s="56">
        <f>ROUND((4043*$T$1),0)*1.05</f>
        <v>4245.1500000000005</v>
      </c>
      <c r="M172" s="56">
        <f>ROUND((4124*$T$1),0)*1.05</f>
        <v>4330.2</v>
      </c>
      <c r="N172" s="56">
        <f>ROUND((4206*$T$1),0)*1.05</f>
        <v>4416.3</v>
      </c>
      <c r="O172" s="56">
        <f>ROUND((4254*$T$1),0)*1.05</f>
        <v>4466.7</v>
      </c>
      <c r="P172" s="56">
        <f>ROUND((4401*$T$1),0)*1.05</f>
        <v>4621.05</v>
      </c>
      <c r="Q172" s="56">
        <f>ROUND((4644*$T$1),0)*1.05</f>
        <v>4876.2</v>
      </c>
    </row>
    <row r="173" spans="1:17" ht="19.5" customHeight="1" x14ac:dyDescent="0.3">
      <c r="A173" s="42"/>
      <c r="B173" s="50" t="s">
        <v>203</v>
      </c>
      <c r="C173" s="51" t="s">
        <v>45</v>
      </c>
      <c r="D173" s="47">
        <v>1.2</v>
      </c>
      <c r="E173" s="53" t="s">
        <v>47</v>
      </c>
      <c r="F173" s="47">
        <v>1.23</v>
      </c>
      <c r="G173" s="53" t="s">
        <v>48</v>
      </c>
      <c r="H173" s="57">
        <v>0.92</v>
      </c>
      <c r="I173" s="55">
        <v>10.8</v>
      </c>
      <c r="J173" s="56">
        <f>ROUND((3486*$T$1),0)*1.05</f>
        <v>3660.3</v>
      </c>
      <c r="K173" s="56">
        <f>ROUND((3873*$T$1),0)*1.05</f>
        <v>4066.65</v>
      </c>
      <c r="L173" s="56">
        <f>ROUND((3942*$T$1),0)*1.05</f>
        <v>4139.1000000000004</v>
      </c>
      <c r="M173" s="56">
        <f>ROUND((4020*$T$1),0)*1.05</f>
        <v>4221</v>
      </c>
      <c r="N173" s="56">
        <f>ROUND((4101*$T$1),0)*1.05</f>
        <v>4306.05</v>
      </c>
      <c r="O173" s="56">
        <f>ROUND((4148*$T$1),0)*1.05</f>
        <v>4355.4000000000005</v>
      </c>
      <c r="P173" s="56">
        <f>ROUND((4291*$T$1),0)*1.05</f>
        <v>4505.55</v>
      </c>
      <c r="Q173" s="56">
        <f>ROUND((4528*$T$1),0)*1.05</f>
        <v>4754.4000000000005</v>
      </c>
    </row>
    <row r="174" spans="1:17" ht="19.5" customHeight="1" x14ac:dyDescent="0.3">
      <c r="A174" s="42"/>
      <c r="B174" s="50" t="s">
        <v>204</v>
      </c>
      <c r="C174" s="51" t="s">
        <v>45</v>
      </c>
      <c r="D174" s="47">
        <v>1.1000000000000001</v>
      </c>
      <c r="E174" s="53" t="s">
        <v>47</v>
      </c>
      <c r="F174" s="47">
        <v>1.23</v>
      </c>
      <c r="G174" s="53" t="s">
        <v>48</v>
      </c>
      <c r="H174" s="57">
        <v>0.92</v>
      </c>
      <c r="I174" s="55">
        <v>10.6</v>
      </c>
      <c r="J174" s="56">
        <f>ROUND((3398*$T$1),0)*1.05</f>
        <v>3567.9</v>
      </c>
      <c r="K174" s="56">
        <f>ROUND((3777*$T$1),0)*1.05</f>
        <v>3965.8500000000004</v>
      </c>
      <c r="L174" s="56">
        <f>ROUND((3843*$T$1),0)*1.05</f>
        <v>4035.15</v>
      </c>
      <c r="M174" s="56">
        <f>ROUND((3920*$T$1),0)*1.05</f>
        <v>4116</v>
      </c>
      <c r="N174" s="56">
        <f>ROUND((3999*$T$1),0)*1.05</f>
        <v>4198.95</v>
      </c>
      <c r="O174" s="56">
        <f>ROUND((4045*$T$1),0)*1.05</f>
        <v>4247.25</v>
      </c>
      <c r="P174" s="56">
        <f>ROUND((4184*$T$1),0)*1.05</f>
        <v>4393.2</v>
      </c>
      <c r="Q174" s="56">
        <f>ROUND((4415*$T$1),0)*1.05</f>
        <v>4635.75</v>
      </c>
    </row>
    <row r="175" spans="1:17" ht="19.5" customHeight="1" x14ac:dyDescent="0.3">
      <c r="A175" s="42"/>
      <c r="B175" s="51"/>
      <c r="C175" s="51"/>
      <c r="D175" s="47"/>
      <c r="E175" s="53"/>
      <c r="F175" s="54"/>
      <c r="G175" s="53"/>
      <c r="H175" s="90"/>
      <c r="I175" s="55"/>
      <c r="J175" s="56"/>
      <c r="K175" s="56"/>
      <c r="L175" s="56"/>
      <c r="M175" s="56"/>
      <c r="N175" s="56"/>
      <c r="O175" s="56"/>
      <c r="P175" s="56"/>
      <c r="Q175" s="56"/>
    </row>
    <row r="176" spans="1:17" ht="19.5" customHeight="1" x14ac:dyDescent="0.3">
      <c r="A176" s="42"/>
      <c r="B176" s="50" t="s">
        <v>205</v>
      </c>
      <c r="C176" s="51" t="s">
        <v>45</v>
      </c>
      <c r="D176" s="47">
        <v>1.2</v>
      </c>
      <c r="E176" s="53" t="s">
        <v>47</v>
      </c>
      <c r="F176" s="47">
        <v>1.23</v>
      </c>
      <c r="G176" s="53" t="s">
        <v>48</v>
      </c>
      <c r="H176" s="57">
        <v>0.92</v>
      </c>
      <c r="I176" s="55">
        <v>11</v>
      </c>
      <c r="J176" s="56">
        <f>ROUND((3463*$T$1),0)*1.05</f>
        <v>3636.15</v>
      </c>
      <c r="K176" s="56">
        <f>ROUND((3847*$T$1),0)*1.05</f>
        <v>4039.3500000000004</v>
      </c>
      <c r="L176" s="56">
        <f>ROUND((3913*$T$1),0)*1.05</f>
        <v>4108.6500000000005</v>
      </c>
      <c r="M176" s="56">
        <f>ROUND((3992*$T$1),0)*1.05</f>
        <v>4191.6000000000004</v>
      </c>
      <c r="N176" s="56">
        <f>ROUND((4069*$T$1),0)*1.05</f>
        <v>4272.45</v>
      </c>
      <c r="O176" s="56">
        <f>ROUND((4116*$T$1),0)*1.05</f>
        <v>4321.8</v>
      </c>
      <c r="P176" s="56">
        <f>ROUND((4256*$T$1),0)*1.05</f>
        <v>4468.8</v>
      </c>
      <c r="Q176" s="56">
        <f>ROUND((4488*$T$1),0)*1.05</f>
        <v>4712.4000000000005</v>
      </c>
    </row>
    <row r="177" spans="1:17" ht="19.5" customHeight="1" x14ac:dyDescent="0.3">
      <c r="A177" s="42"/>
      <c r="B177" s="50" t="s">
        <v>206</v>
      </c>
      <c r="C177" s="51" t="s">
        <v>45</v>
      </c>
      <c r="D177" s="47">
        <v>1.1000000000000001</v>
      </c>
      <c r="E177" s="53" t="s">
        <v>47</v>
      </c>
      <c r="F177" s="47">
        <v>1.23</v>
      </c>
      <c r="G177" s="53" t="s">
        <v>48</v>
      </c>
      <c r="H177" s="57">
        <v>0.92</v>
      </c>
      <c r="I177" s="55">
        <v>10.8</v>
      </c>
      <c r="J177" s="56">
        <f>ROUND((3375*$T$1),0)*1.05</f>
        <v>3543.75</v>
      </c>
      <c r="K177" s="56">
        <f>ROUND((3750*$T$1),0)*1.05</f>
        <v>3937.5</v>
      </c>
      <c r="L177" s="56">
        <f>ROUND((3816*$T$1),0)*1.05</f>
        <v>4006.8</v>
      </c>
      <c r="M177" s="56">
        <f>ROUND((3892*$T$1),0)*1.05</f>
        <v>4086.6000000000004</v>
      </c>
      <c r="N177" s="56">
        <f>ROUND((3968*$T$1),0)*1.05</f>
        <v>4166.4000000000005</v>
      </c>
      <c r="O177" s="56">
        <f>ROUND((4014*$T$1),0)*1.05</f>
        <v>4214.7</v>
      </c>
      <c r="P177" s="56">
        <f>ROUND((4149*$T$1),0)*1.05</f>
        <v>4356.45</v>
      </c>
      <c r="Q177" s="56">
        <f>ROUND((4376*$T$1),0)*1.05</f>
        <v>4594.8</v>
      </c>
    </row>
    <row r="178" spans="1:17" ht="19.5" customHeight="1" x14ac:dyDescent="0.3">
      <c r="A178" s="42"/>
      <c r="B178" s="50" t="s">
        <v>207</v>
      </c>
      <c r="C178" s="51" t="s">
        <v>45</v>
      </c>
      <c r="D178" s="47">
        <v>1</v>
      </c>
      <c r="E178" s="53" t="s">
        <v>47</v>
      </c>
      <c r="F178" s="47">
        <v>1.23</v>
      </c>
      <c r="G178" s="53" t="s">
        <v>48</v>
      </c>
      <c r="H178" s="57">
        <v>0.92</v>
      </c>
      <c r="I178" s="55">
        <v>10.8</v>
      </c>
      <c r="J178" s="56">
        <f>ROUND((3291*$T$1),0)*1.05</f>
        <v>3455.55</v>
      </c>
      <c r="K178" s="56">
        <f>ROUND((3657*$T$1),0)*1.05</f>
        <v>3839.8500000000004</v>
      </c>
      <c r="L178" s="56">
        <f>ROUND((3720*$T$1),0)*1.05</f>
        <v>3906</v>
      </c>
      <c r="M178" s="56">
        <f>ROUND((3795*$T$1),0)*1.05</f>
        <v>3984.75</v>
      </c>
      <c r="N178" s="56">
        <f>ROUND((3867*$T$1),0)*1.05</f>
        <v>4060.3500000000004</v>
      </c>
      <c r="O178" s="56">
        <f>ROUND((3912*$T$1),0)*1.05</f>
        <v>4107.6000000000004</v>
      </c>
      <c r="P178" s="56">
        <f>ROUND((4046*$T$1),0)*1.05</f>
        <v>4248.3</v>
      </c>
      <c r="Q178" s="56">
        <f>ROUND((4267*$T$1),0)*1.05</f>
        <v>4480.3500000000004</v>
      </c>
    </row>
    <row r="179" spans="1:17" ht="19.5" customHeight="1" x14ac:dyDescent="0.3">
      <c r="A179" s="42"/>
      <c r="B179" s="50" t="s">
        <v>208</v>
      </c>
      <c r="C179" s="51" t="s">
        <v>45</v>
      </c>
      <c r="D179" s="47">
        <v>0.9</v>
      </c>
      <c r="E179" s="53" t="s">
        <v>47</v>
      </c>
      <c r="F179" s="47">
        <v>1.23</v>
      </c>
      <c r="G179" s="53" t="s">
        <v>48</v>
      </c>
      <c r="H179" s="57">
        <v>0.92</v>
      </c>
      <c r="I179" s="55">
        <v>10.6</v>
      </c>
      <c r="J179" s="56">
        <f>ROUND((3209*$T$1),0)*1.05</f>
        <v>3369.4500000000003</v>
      </c>
      <c r="K179" s="56">
        <f>ROUND((3565*$T$1),0)*1.05</f>
        <v>3743.25</v>
      </c>
      <c r="L179" s="56">
        <f>ROUND((3627*$T$1),0)*1.05</f>
        <v>3808.3500000000004</v>
      </c>
      <c r="M179" s="56">
        <f>ROUND((3700*$T$1),0)*1.05</f>
        <v>3885</v>
      </c>
      <c r="N179" s="56">
        <f>ROUND((3771*$T$1),0)*1.05</f>
        <v>3959.55</v>
      </c>
      <c r="O179" s="56">
        <f>ROUND((3815*$T$1),0)*1.05</f>
        <v>4005.75</v>
      </c>
      <c r="P179" s="56">
        <f>ROUND((3945*$T$1),0)*1.05</f>
        <v>4142.25</v>
      </c>
      <c r="Q179" s="56">
        <f>ROUND((4161*$T$1),0)*1.05</f>
        <v>4369.05</v>
      </c>
    </row>
    <row r="180" spans="1:17" ht="19.5" customHeight="1" x14ac:dyDescent="0.3">
      <c r="A180" s="42"/>
      <c r="B180" s="51"/>
      <c r="C180" s="51"/>
      <c r="D180" s="47"/>
      <c r="E180" s="53"/>
      <c r="F180" s="54"/>
      <c r="G180" s="53"/>
      <c r="H180" s="90"/>
      <c r="I180" s="55"/>
      <c r="J180" s="56"/>
      <c r="K180" s="56"/>
      <c r="L180" s="56"/>
      <c r="M180" s="56"/>
      <c r="N180" s="56"/>
      <c r="O180" s="56"/>
      <c r="P180" s="56"/>
      <c r="Q180" s="56"/>
    </row>
    <row r="181" spans="1:17" ht="19.5" customHeight="1" x14ac:dyDescent="0.3">
      <c r="A181" s="42"/>
      <c r="B181" s="50" t="s">
        <v>209</v>
      </c>
      <c r="C181" s="51" t="s">
        <v>45</v>
      </c>
      <c r="D181" s="47">
        <v>1.4</v>
      </c>
      <c r="E181" s="53" t="s">
        <v>47</v>
      </c>
      <c r="F181" s="47">
        <v>1.63</v>
      </c>
      <c r="G181" s="53" t="s">
        <v>48</v>
      </c>
      <c r="H181" s="57">
        <v>0.92</v>
      </c>
      <c r="I181" s="55">
        <v>12.6</v>
      </c>
      <c r="J181" s="56">
        <f>ROUND((4241*$T$1),0)*1.05</f>
        <v>4453.05</v>
      </c>
      <c r="K181" s="56">
        <f>ROUND((4713*$T$1),0)*1.05</f>
        <v>4948.6500000000005</v>
      </c>
      <c r="L181" s="56">
        <f>ROUND((4789*$T$1),0)*1.05</f>
        <v>5028.45</v>
      </c>
      <c r="M181" s="56">
        <f>ROUND((4877*$T$1),0)*1.05</f>
        <v>5120.8500000000004</v>
      </c>
      <c r="N181" s="56">
        <f>ROUND((4965*$T$1),0)*1.05</f>
        <v>5213.25</v>
      </c>
      <c r="O181" s="56">
        <f>ROUND((5017*$T$1),0)*1.05</f>
        <v>5267.85</v>
      </c>
      <c r="P181" s="56">
        <f>ROUND((5175*$T$1),0)*1.05</f>
        <v>5433.75</v>
      </c>
      <c r="Q181" s="56">
        <f>ROUND((5438*$T$1),0)*1.05</f>
        <v>5709.9000000000005</v>
      </c>
    </row>
    <row r="182" spans="1:17" ht="19.5" customHeight="1" x14ac:dyDescent="0.3">
      <c r="A182" s="42"/>
      <c r="B182" s="50" t="s">
        <v>210</v>
      </c>
      <c r="C182" s="51" t="s">
        <v>45</v>
      </c>
      <c r="D182" s="47">
        <v>1.3</v>
      </c>
      <c r="E182" s="53" t="s">
        <v>47</v>
      </c>
      <c r="F182" s="47">
        <v>1.63</v>
      </c>
      <c r="G182" s="53" t="s">
        <v>48</v>
      </c>
      <c r="H182" s="57">
        <v>0.92</v>
      </c>
      <c r="I182" s="55">
        <v>12.4</v>
      </c>
      <c r="J182" s="56">
        <f>ROUND((4135*$T$1),0)*1.05</f>
        <v>4341.75</v>
      </c>
      <c r="K182" s="56">
        <f>ROUND((4595*$T$1),0)*1.05</f>
        <v>4824.75</v>
      </c>
      <c r="L182" s="56">
        <f>ROUND((4669*$T$1),0)*1.05</f>
        <v>4902.45</v>
      </c>
      <c r="M182" s="56">
        <f>ROUND((4755*$T$1),0)*1.05</f>
        <v>4992.75</v>
      </c>
      <c r="N182" s="56">
        <f>ROUND((4840*$T$1),0)*1.05</f>
        <v>5082</v>
      </c>
      <c r="O182" s="56">
        <f>ROUND((4892*$T$1),0)*1.05</f>
        <v>5136.6000000000004</v>
      </c>
      <c r="P182" s="56">
        <f>ROUND((5045*$T$1),0)*1.05</f>
        <v>5297.25</v>
      </c>
      <c r="Q182" s="56">
        <f>ROUND((5303*$T$1),0)*1.05</f>
        <v>5568.1500000000005</v>
      </c>
    </row>
    <row r="183" spans="1:17" ht="19.5" customHeight="1" x14ac:dyDescent="0.3">
      <c r="A183" s="42"/>
      <c r="B183" s="50" t="s">
        <v>211</v>
      </c>
      <c r="C183" s="51" t="s">
        <v>45</v>
      </c>
      <c r="D183" s="47">
        <v>1.2</v>
      </c>
      <c r="E183" s="53" t="s">
        <v>47</v>
      </c>
      <c r="F183" s="47">
        <v>1.63</v>
      </c>
      <c r="G183" s="53" t="s">
        <v>48</v>
      </c>
      <c r="H183" s="57">
        <v>0.92</v>
      </c>
      <c r="I183" s="55">
        <v>12.1</v>
      </c>
      <c r="J183" s="56">
        <f>ROUND((4032*$T$1),0)*1.05</f>
        <v>4233.6000000000004</v>
      </c>
      <c r="K183" s="56">
        <f>ROUND((4480*$T$1),0)*1.05</f>
        <v>4704</v>
      </c>
      <c r="L183" s="56">
        <f>ROUND((4553*$T$1),0)*1.05</f>
        <v>4780.6500000000005</v>
      </c>
      <c r="M183" s="56">
        <f>ROUND((4636*$T$1),0)*1.05</f>
        <v>4867.8</v>
      </c>
      <c r="N183" s="56">
        <f>ROUND((4720*$T$1),0)*1.05</f>
        <v>4956</v>
      </c>
      <c r="O183" s="56">
        <f>ROUND((4769*$T$1),0)*1.05</f>
        <v>5007.45</v>
      </c>
      <c r="P183" s="56">
        <f>ROUND((4919*$T$1),0)*1.05</f>
        <v>5164.95</v>
      </c>
      <c r="Q183" s="56">
        <f>ROUND((5169*$T$1),0)*1.05</f>
        <v>5427.45</v>
      </c>
    </row>
    <row r="184" spans="1:17" ht="19.5" customHeight="1" x14ac:dyDescent="0.3">
      <c r="A184" s="42"/>
      <c r="B184" s="51"/>
      <c r="C184" s="51"/>
      <c r="D184" s="54"/>
      <c r="E184" s="53"/>
      <c r="F184" s="54"/>
      <c r="G184" s="53"/>
      <c r="H184" s="90"/>
      <c r="I184" s="55"/>
      <c r="J184" s="56"/>
      <c r="K184" s="56"/>
      <c r="L184" s="56"/>
      <c r="M184" s="56"/>
      <c r="N184" s="56"/>
      <c r="O184" s="56"/>
      <c r="P184" s="56"/>
      <c r="Q184" s="56"/>
    </row>
    <row r="185" spans="1:17" ht="19.5" customHeight="1" x14ac:dyDescent="0.3">
      <c r="A185" s="42"/>
      <c r="B185" s="50" t="s">
        <v>184</v>
      </c>
      <c r="C185" s="51"/>
      <c r="D185" s="54"/>
      <c r="E185" s="53"/>
      <c r="F185" s="54"/>
      <c r="G185" s="53"/>
      <c r="H185" s="90"/>
      <c r="I185" s="55"/>
      <c r="J185" s="56"/>
      <c r="K185" s="56">
        <f>ROUND((1734*$T$1),0)*1.05</f>
        <v>1820.7</v>
      </c>
      <c r="L185" s="56"/>
      <c r="M185" s="56"/>
      <c r="N185" s="56"/>
      <c r="O185" s="56"/>
      <c r="P185" s="56"/>
      <c r="Q185" s="56"/>
    </row>
    <row r="186" spans="1:17" ht="19.5" customHeight="1" x14ac:dyDescent="0.3">
      <c r="A186" s="42"/>
      <c r="B186" s="50" t="s">
        <v>185</v>
      </c>
      <c r="C186" s="51"/>
      <c r="D186" s="54"/>
      <c r="E186" s="53"/>
      <c r="F186" s="54"/>
      <c r="G186" s="53"/>
      <c r="H186" s="90"/>
      <c r="I186" s="55"/>
      <c r="J186" s="56"/>
      <c r="K186" s="56">
        <f>ROUND((2765*$T$1),0)*1.05</f>
        <v>2903.25</v>
      </c>
      <c r="L186" s="56"/>
      <c r="M186" s="56"/>
      <c r="N186" s="56"/>
      <c r="O186" s="56"/>
      <c r="P186" s="56"/>
      <c r="Q186" s="56"/>
    </row>
    <row r="187" spans="1:17" ht="19.5" customHeight="1" x14ac:dyDescent="0.3">
      <c r="A187" s="42"/>
      <c r="B187" s="50" t="s">
        <v>186</v>
      </c>
      <c r="C187" s="51"/>
      <c r="D187" s="54"/>
      <c r="E187" s="53"/>
      <c r="F187" s="54"/>
      <c r="G187" s="53"/>
      <c r="H187" s="90"/>
      <c r="I187" s="55"/>
      <c r="J187" s="56"/>
      <c r="K187" s="56">
        <f>ROUND((3795*$T$1),0)*1.05</f>
        <v>3984.75</v>
      </c>
      <c r="L187" s="56"/>
      <c r="M187" s="56"/>
      <c r="N187" s="56"/>
      <c r="O187" s="56"/>
      <c r="P187" s="56"/>
      <c r="Q187" s="56"/>
    </row>
    <row r="188" spans="1:17" ht="19.5" customHeight="1" x14ac:dyDescent="0.3">
      <c r="A188" s="42"/>
      <c r="B188" s="51"/>
      <c r="C188" s="51"/>
      <c r="D188" s="54"/>
      <c r="E188" s="53"/>
      <c r="F188" s="54"/>
      <c r="G188" s="53"/>
      <c r="H188" s="90"/>
      <c r="I188" s="55"/>
      <c r="J188" s="56"/>
      <c r="K188" s="56"/>
      <c r="L188" s="56"/>
      <c r="M188" s="56"/>
      <c r="N188" s="56"/>
      <c r="O188" s="56"/>
      <c r="P188" s="56"/>
      <c r="Q188" s="56"/>
    </row>
    <row r="189" spans="1:17" ht="19.5" customHeight="1" x14ac:dyDescent="0.3">
      <c r="A189" s="42"/>
      <c r="B189" s="51" t="s">
        <v>187</v>
      </c>
      <c r="C189" s="44"/>
      <c r="D189" s="47"/>
      <c r="E189" s="46"/>
      <c r="F189" s="47"/>
      <c r="G189" s="46"/>
      <c r="H189" s="57"/>
      <c r="I189" s="48"/>
      <c r="J189" s="49"/>
      <c r="K189" s="49">
        <f>ROUND((220*$T$1),0)*1.05</f>
        <v>231</v>
      </c>
      <c r="L189" s="49"/>
      <c r="M189" s="49"/>
      <c r="N189" s="49"/>
      <c r="O189" s="49"/>
      <c r="P189" s="49"/>
      <c r="Q189" s="49"/>
    </row>
    <row r="190" spans="1:17" ht="19.5" customHeight="1" x14ac:dyDescent="0.3">
      <c r="A190" s="42"/>
      <c r="B190" s="51" t="s">
        <v>188</v>
      </c>
      <c r="C190" s="44"/>
      <c r="D190" s="47"/>
      <c r="E190" s="46"/>
      <c r="F190" s="47"/>
      <c r="G190" s="46"/>
      <c r="H190" s="57"/>
      <c r="I190" s="48"/>
      <c r="J190" s="49"/>
      <c r="K190" s="49">
        <f>ROUND((132*$T$1),0)*1.05</f>
        <v>138.6</v>
      </c>
      <c r="L190" s="49"/>
      <c r="M190" s="49"/>
      <c r="N190" s="49"/>
      <c r="O190" s="49"/>
      <c r="P190" s="49"/>
      <c r="Q190" s="49"/>
    </row>
    <row r="191" spans="1:17" ht="19.5" customHeight="1" x14ac:dyDescent="0.3">
      <c r="A191" s="42"/>
      <c r="B191" s="51" t="s">
        <v>189</v>
      </c>
      <c r="C191" s="44"/>
      <c r="D191" s="47"/>
      <c r="E191" s="46"/>
      <c r="F191" s="47"/>
      <c r="G191" s="46"/>
      <c r="H191" s="57"/>
      <c r="I191" s="48"/>
      <c r="J191" s="49"/>
      <c r="K191" s="49">
        <f>ROUND((132*$T$1),0)*1.05</f>
        <v>138.6</v>
      </c>
      <c r="L191" s="49"/>
      <c r="M191" s="49"/>
      <c r="N191" s="49"/>
      <c r="O191" s="49"/>
      <c r="P191" s="49"/>
      <c r="Q191" s="49"/>
    </row>
    <row r="192" spans="1:17" ht="19.5" customHeight="1" x14ac:dyDescent="0.3">
      <c r="A192" s="42"/>
      <c r="B192" s="44"/>
      <c r="C192" s="44"/>
      <c r="D192" s="47"/>
      <c r="E192" s="46"/>
      <c r="F192" s="47"/>
      <c r="G192" s="46"/>
      <c r="H192" s="57"/>
      <c r="I192" s="48"/>
      <c r="J192" s="49"/>
      <c r="K192" s="49"/>
      <c r="L192" s="49"/>
      <c r="M192" s="49"/>
      <c r="N192" s="49"/>
      <c r="O192" s="49"/>
      <c r="P192" s="49"/>
      <c r="Q192" s="49"/>
    </row>
    <row r="193" spans="1:17" ht="19.5" customHeight="1" x14ac:dyDescent="0.35">
      <c r="A193" s="42"/>
      <c r="B193" s="92" t="s">
        <v>190</v>
      </c>
      <c r="C193" s="44"/>
      <c r="D193" s="47"/>
      <c r="E193" s="46"/>
      <c r="F193" s="47"/>
      <c r="G193" s="46"/>
      <c r="H193" s="57"/>
      <c r="I193" s="48"/>
      <c r="J193" s="49"/>
      <c r="K193" s="49"/>
      <c r="L193" s="49"/>
      <c r="M193" s="49"/>
      <c r="N193" s="49"/>
      <c r="O193" s="49"/>
      <c r="P193" s="49"/>
      <c r="Q193" s="49"/>
    </row>
    <row r="194" spans="1:17" ht="19.5" customHeight="1" x14ac:dyDescent="0.3">
      <c r="A194" s="42"/>
      <c r="B194" s="44"/>
      <c r="C194" s="44"/>
      <c r="D194" s="47"/>
      <c r="E194" s="46"/>
      <c r="F194" s="47"/>
      <c r="G194" s="46"/>
      <c r="H194" s="57"/>
      <c r="I194" s="48"/>
      <c r="J194" s="49"/>
      <c r="K194" s="49"/>
      <c r="L194" s="49"/>
      <c r="M194" s="49"/>
      <c r="N194" s="49"/>
      <c r="O194" s="49"/>
      <c r="P194" s="49"/>
      <c r="Q194" s="49"/>
    </row>
    <row r="195" spans="1:17" ht="19.5" customHeight="1" x14ac:dyDescent="0.3">
      <c r="A195" s="42"/>
      <c r="B195" s="43" t="s">
        <v>212</v>
      </c>
      <c r="C195" s="44" t="s">
        <v>45</v>
      </c>
      <c r="D195" s="47">
        <v>1.4</v>
      </c>
      <c r="E195" s="46" t="s">
        <v>47</v>
      </c>
      <c r="F195" s="47">
        <v>1.23</v>
      </c>
      <c r="G195" s="46" t="s">
        <v>48</v>
      </c>
      <c r="H195" s="57">
        <v>0.92</v>
      </c>
      <c r="I195" s="48">
        <v>11</v>
      </c>
      <c r="J195" s="56">
        <f>ROUND((3667*$T$1),0)*1.05</f>
        <v>3850.3500000000004</v>
      </c>
      <c r="K195" s="56">
        <f>ROUND((4074*$T$1),0)*1.05</f>
        <v>4277.7</v>
      </c>
      <c r="L195" s="56">
        <f>ROUND((4147*$T$1),0)*1.05</f>
        <v>4354.3500000000004</v>
      </c>
      <c r="M195" s="56">
        <f>ROUND((4230*$T$1),0)*1.05</f>
        <v>4441.5</v>
      </c>
      <c r="N195" s="56">
        <f>ROUND((4314*$T$1),0)*1.05</f>
        <v>4529.7</v>
      </c>
      <c r="O195" s="56">
        <f>ROUND((4363*$T$1),0)*1.05</f>
        <v>4581.1500000000005</v>
      </c>
      <c r="P195" s="56">
        <f>ROUND((4514*$T$1),0)*1.05</f>
        <v>4739.7</v>
      </c>
      <c r="Q195" s="56">
        <f>ROUND((4763*$T$1),0)*1.05</f>
        <v>5001.1500000000005</v>
      </c>
    </row>
    <row r="196" spans="1:17" ht="19.5" customHeight="1" x14ac:dyDescent="0.3">
      <c r="A196" s="42"/>
      <c r="B196" s="43" t="s">
        <v>213</v>
      </c>
      <c r="C196" s="44" t="s">
        <v>45</v>
      </c>
      <c r="D196" s="47">
        <v>1.3</v>
      </c>
      <c r="E196" s="46" t="s">
        <v>47</v>
      </c>
      <c r="F196" s="47">
        <v>1.23</v>
      </c>
      <c r="G196" s="46" t="s">
        <v>48</v>
      </c>
      <c r="H196" s="57">
        <v>0.92</v>
      </c>
      <c r="I196" s="48">
        <v>10.8</v>
      </c>
      <c r="J196" s="56">
        <f>ROUND((3575*$T$1),0)*1.05</f>
        <v>3753.75</v>
      </c>
      <c r="K196" s="56">
        <f>ROUND((3972*$T$1),0)*1.05</f>
        <v>4170.6000000000004</v>
      </c>
      <c r="L196" s="56">
        <f>ROUND((4043*$T$1),0)*1.05</f>
        <v>4245.1500000000005</v>
      </c>
      <c r="M196" s="56">
        <f>ROUND((4124*$T$1),0)*1.05</f>
        <v>4330.2</v>
      </c>
      <c r="N196" s="56">
        <f>ROUND((4206*$T$1),0)*1.05</f>
        <v>4416.3</v>
      </c>
      <c r="O196" s="56">
        <f>ROUND((4254*$T$1),0)*1.05</f>
        <v>4466.7</v>
      </c>
      <c r="P196" s="56">
        <f>ROUND((4401*$T$1),0)*1.05</f>
        <v>4621.05</v>
      </c>
      <c r="Q196" s="56">
        <f>ROUND((4644*$T$1),0)*1.05</f>
        <v>4876.2</v>
      </c>
    </row>
    <row r="197" spans="1:17" ht="19.5" customHeight="1" x14ac:dyDescent="0.3">
      <c r="A197" s="42"/>
      <c r="B197" s="43" t="s">
        <v>214</v>
      </c>
      <c r="C197" s="44" t="s">
        <v>45</v>
      </c>
      <c r="D197" s="47">
        <v>1.2</v>
      </c>
      <c r="E197" s="46" t="s">
        <v>47</v>
      </c>
      <c r="F197" s="47">
        <v>1.23</v>
      </c>
      <c r="G197" s="46" t="s">
        <v>48</v>
      </c>
      <c r="H197" s="57">
        <v>0.92</v>
      </c>
      <c r="I197" s="48">
        <v>10.8</v>
      </c>
      <c r="J197" s="56">
        <f>ROUND((3486*$T$1),0)*1.05</f>
        <v>3660.3</v>
      </c>
      <c r="K197" s="56">
        <f>ROUND((3873*$T$1),0)*1.05</f>
        <v>4066.65</v>
      </c>
      <c r="L197" s="56">
        <f>ROUND((3942*$T$1),0)*1.05</f>
        <v>4139.1000000000004</v>
      </c>
      <c r="M197" s="56">
        <f>ROUND((4020*$T$1),0)*1.05</f>
        <v>4221</v>
      </c>
      <c r="N197" s="56">
        <f>ROUND((4101*$T$1),0)*1.05</f>
        <v>4306.05</v>
      </c>
      <c r="O197" s="56">
        <f>ROUND((4148*$T$1),0)*1.05</f>
        <v>4355.4000000000005</v>
      </c>
      <c r="P197" s="56">
        <f>ROUND((4291*$T$1),0)*1.05</f>
        <v>4505.55</v>
      </c>
      <c r="Q197" s="56">
        <f>ROUND((4528*$T$1),0)*1.05</f>
        <v>4754.4000000000005</v>
      </c>
    </row>
    <row r="198" spans="1:17" ht="19.5" customHeight="1" x14ac:dyDescent="0.3">
      <c r="A198" s="42"/>
      <c r="B198" s="43" t="s">
        <v>215</v>
      </c>
      <c r="C198" s="44" t="s">
        <v>45</v>
      </c>
      <c r="D198" s="47">
        <v>1.1000000000000001</v>
      </c>
      <c r="E198" s="46" t="s">
        <v>47</v>
      </c>
      <c r="F198" s="47">
        <v>1.23</v>
      </c>
      <c r="G198" s="46" t="s">
        <v>48</v>
      </c>
      <c r="H198" s="57">
        <v>0.92</v>
      </c>
      <c r="I198" s="48">
        <v>10.6</v>
      </c>
      <c r="J198" s="56">
        <f>ROUND((3398*$T$1),0)*1.05</f>
        <v>3567.9</v>
      </c>
      <c r="K198" s="56">
        <f>ROUND((3777*$T$1),0)*1.05</f>
        <v>3965.8500000000004</v>
      </c>
      <c r="L198" s="56">
        <f>ROUND((3843*$T$1),0)*1.05</f>
        <v>4035.15</v>
      </c>
      <c r="M198" s="56">
        <f>ROUND((3920*$T$1),0)*1.05</f>
        <v>4116</v>
      </c>
      <c r="N198" s="56">
        <f>ROUND((3999*$T$1),0)*1.05</f>
        <v>4198.95</v>
      </c>
      <c r="O198" s="56">
        <f>ROUND((4045*$T$1),0)*1.05</f>
        <v>4247.25</v>
      </c>
      <c r="P198" s="56">
        <f>ROUND((4184*$T$1),0)*1.05</f>
        <v>4393.2</v>
      </c>
      <c r="Q198" s="56">
        <f>ROUND((4415*$T$1),0)*1.05</f>
        <v>4635.75</v>
      </c>
    </row>
    <row r="199" spans="1:17" ht="19.5" customHeight="1" x14ac:dyDescent="0.3">
      <c r="A199" s="42"/>
      <c r="B199" s="94"/>
      <c r="C199" s="44"/>
      <c r="D199" s="47"/>
      <c r="E199" s="46"/>
      <c r="F199" s="47"/>
      <c r="G199" s="46"/>
      <c r="H199" s="57"/>
      <c r="I199" s="48"/>
      <c r="J199" s="56"/>
      <c r="K199" s="56"/>
      <c r="L199" s="56"/>
      <c r="M199" s="56"/>
      <c r="N199" s="56"/>
      <c r="O199" s="56"/>
      <c r="P199" s="56"/>
      <c r="Q199" s="56"/>
    </row>
    <row r="200" spans="1:17" ht="19.5" customHeight="1" x14ac:dyDescent="0.3">
      <c r="A200" s="42"/>
      <c r="B200" s="43" t="s">
        <v>216</v>
      </c>
      <c r="C200" s="44" t="s">
        <v>45</v>
      </c>
      <c r="D200" s="47">
        <v>1.2</v>
      </c>
      <c r="E200" s="46" t="s">
        <v>47</v>
      </c>
      <c r="F200" s="47">
        <v>1.23</v>
      </c>
      <c r="G200" s="46" t="s">
        <v>48</v>
      </c>
      <c r="H200" s="57">
        <v>0.92</v>
      </c>
      <c r="I200" s="48">
        <v>11</v>
      </c>
      <c r="J200" s="56">
        <f>ROUND((3463*$T$1),0)*1.05</f>
        <v>3636.15</v>
      </c>
      <c r="K200" s="56">
        <f>ROUND((3847*$T$1),0)*1.05</f>
        <v>4039.3500000000004</v>
      </c>
      <c r="L200" s="56">
        <f>ROUND((3913*$T$1),0)*1.05</f>
        <v>4108.6500000000005</v>
      </c>
      <c r="M200" s="56">
        <f>ROUND((3992*$T$1),0)*1.05</f>
        <v>4191.6000000000004</v>
      </c>
      <c r="N200" s="56">
        <f>ROUND((4069*$T$1),0)*1.05</f>
        <v>4272.45</v>
      </c>
      <c r="O200" s="56">
        <f>ROUND((4116*$T$1),0)*1.05</f>
        <v>4321.8</v>
      </c>
      <c r="P200" s="56">
        <f>ROUND((4256*$T$1),0)*1.05</f>
        <v>4468.8</v>
      </c>
      <c r="Q200" s="56">
        <f>ROUND((4488*$T$1),0)*1.05</f>
        <v>4712.4000000000005</v>
      </c>
    </row>
    <row r="201" spans="1:17" ht="19.5" customHeight="1" x14ac:dyDescent="0.3">
      <c r="A201" s="42"/>
      <c r="B201" s="43" t="s">
        <v>217</v>
      </c>
      <c r="C201" s="44" t="s">
        <v>45</v>
      </c>
      <c r="D201" s="47">
        <v>1.1000000000000001</v>
      </c>
      <c r="E201" s="46" t="s">
        <v>47</v>
      </c>
      <c r="F201" s="47">
        <v>1.23</v>
      </c>
      <c r="G201" s="46" t="s">
        <v>48</v>
      </c>
      <c r="H201" s="57">
        <v>0.92</v>
      </c>
      <c r="I201" s="48">
        <v>10.8</v>
      </c>
      <c r="J201" s="56">
        <f>ROUND((3375*$T$1),0)*1.05</f>
        <v>3543.75</v>
      </c>
      <c r="K201" s="56">
        <f>ROUND((3750*$T$1),0)*1.05</f>
        <v>3937.5</v>
      </c>
      <c r="L201" s="56">
        <f>ROUND((3816*$T$1),0)*1.05</f>
        <v>4006.8</v>
      </c>
      <c r="M201" s="56">
        <f>ROUND((3892*$T$1),0)*1.05</f>
        <v>4086.6000000000004</v>
      </c>
      <c r="N201" s="56">
        <f>ROUND((3968*$T$1),0)*1.05</f>
        <v>4166.4000000000005</v>
      </c>
      <c r="O201" s="56">
        <f>ROUND((4014*$T$1),0)*1.05</f>
        <v>4214.7</v>
      </c>
      <c r="P201" s="56">
        <f>ROUND((4149*$T$1),0)*1.05</f>
        <v>4356.45</v>
      </c>
      <c r="Q201" s="56">
        <f>ROUND((4376*$T$1),0)*1.05</f>
        <v>4594.8</v>
      </c>
    </row>
    <row r="202" spans="1:17" ht="19.5" customHeight="1" x14ac:dyDescent="0.3">
      <c r="A202" s="42"/>
      <c r="B202" s="43" t="s">
        <v>218</v>
      </c>
      <c r="C202" s="44" t="s">
        <v>45</v>
      </c>
      <c r="D202" s="47">
        <v>1</v>
      </c>
      <c r="E202" s="46" t="s">
        <v>47</v>
      </c>
      <c r="F202" s="47">
        <v>1.23</v>
      </c>
      <c r="G202" s="46" t="s">
        <v>48</v>
      </c>
      <c r="H202" s="57">
        <v>0.92</v>
      </c>
      <c r="I202" s="48">
        <v>10.8</v>
      </c>
      <c r="J202" s="56">
        <f>ROUND((3291*$T$1),0)*1.05</f>
        <v>3455.55</v>
      </c>
      <c r="K202" s="56">
        <f>ROUND((3657*$T$1),0)*1.05</f>
        <v>3839.8500000000004</v>
      </c>
      <c r="L202" s="56">
        <f>ROUND((3720*$T$1),0)*1.05</f>
        <v>3906</v>
      </c>
      <c r="M202" s="56">
        <f>ROUND((3795*$T$1),0)*1.05</f>
        <v>3984.75</v>
      </c>
      <c r="N202" s="56">
        <f>ROUND((3867*$T$1),0)*1.05</f>
        <v>4060.3500000000004</v>
      </c>
      <c r="O202" s="56">
        <f>ROUND((3912*$T$1),0)*1.05</f>
        <v>4107.6000000000004</v>
      </c>
      <c r="P202" s="56">
        <f>ROUND((4046*$T$1),0)*1.05</f>
        <v>4248.3</v>
      </c>
      <c r="Q202" s="56">
        <f>ROUND((4267*$T$1),0)*1.05</f>
        <v>4480.3500000000004</v>
      </c>
    </row>
    <row r="203" spans="1:17" ht="19.5" customHeight="1" x14ac:dyDescent="0.3">
      <c r="A203" s="42"/>
      <c r="B203" s="43" t="s">
        <v>219</v>
      </c>
      <c r="C203" s="44" t="s">
        <v>45</v>
      </c>
      <c r="D203" s="47">
        <v>0.9</v>
      </c>
      <c r="E203" s="46" t="s">
        <v>47</v>
      </c>
      <c r="F203" s="47">
        <v>1.23</v>
      </c>
      <c r="G203" s="46" t="s">
        <v>48</v>
      </c>
      <c r="H203" s="57">
        <v>0.92</v>
      </c>
      <c r="I203" s="48">
        <v>10.6</v>
      </c>
      <c r="J203" s="56">
        <f>ROUND((3209*$T$1),0)*1.05</f>
        <v>3369.4500000000003</v>
      </c>
      <c r="K203" s="56">
        <f>ROUND((3565*$T$1),0)*1.05</f>
        <v>3743.25</v>
      </c>
      <c r="L203" s="56">
        <f>ROUND((3627*$T$1),0)*1.05</f>
        <v>3808.3500000000004</v>
      </c>
      <c r="M203" s="56">
        <f>ROUND((3700*$T$1),0)*1.05</f>
        <v>3885</v>
      </c>
      <c r="N203" s="56">
        <f>ROUND((3771*$T$1),0)*1.05</f>
        <v>3959.55</v>
      </c>
      <c r="O203" s="56">
        <f>ROUND((3815*$T$1),0)*1.05</f>
        <v>4005.75</v>
      </c>
      <c r="P203" s="56">
        <f>ROUND((3945*$T$1),0)*1.05</f>
        <v>4142.25</v>
      </c>
      <c r="Q203" s="56">
        <f>ROUND((4161*$T$1),0)*1.05</f>
        <v>4369.05</v>
      </c>
    </row>
    <row r="204" spans="1:17" ht="19.5" customHeight="1" x14ac:dyDescent="0.3">
      <c r="A204" s="42"/>
      <c r="B204" s="44"/>
      <c r="C204" s="44"/>
      <c r="D204" s="47"/>
      <c r="E204" s="46"/>
      <c r="F204" s="47"/>
      <c r="G204" s="46"/>
      <c r="H204" s="57"/>
      <c r="I204" s="48"/>
      <c r="J204" s="56"/>
      <c r="K204" s="56"/>
      <c r="L204" s="56"/>
      <c r="M204" s="56"/>
      <c r="N204" s="56"/>
      <c r="O204" s="56"/>
      <c r="P204" s="56"/>
      <c r="Q204" s="56"/>
    </row>
    <row r="205" spans="1:17" ht="19.5" customHeight="1" x14ac:dyDescent="0.3">
      <c r="A205" s="42"/>
      <c r="B205" s="43" t="s">
        <v>220</v>
      </c>
      <c r="C205" s="44" t="s">
        <v>45</v>
      </c>
      <c r="D205" s="47">
        <v>1.4</v>
      </c>
      <c r="E205" s="46" t="s">
        <v>47</v>
      </c>
      <c r="F205" s="47">
        <v>1.63</v>
      </c>
      <c r="G205" s="46" t="s">
        <v>48</v>
      </c>
      <c r="H205" s="57">
        <v>0.92</v>
      </c>
      <c r="I205" s="48">
        <v>12.6</v>
      </c>
      <c r="J205" s="56">
        <f>ROUND((4241*$T$1),0)*1.05</f>
        <v>4453.05</v>
      </c>
      <c r="K205" s="56">
        <f>ROUND((4713*$T$1),0)*1.05</f>
        <v>4948.6500000000005</v>
      </c>
      <c r="L205" s="56">
        <f>ROUND((4789*$T$1),0)*1.05</f>
        <v>5028.45</v>
      </c>
      <c r="M205" s="56">
        <f>ROUND((4877*$T$1),0)*1.05</f>
        <v>5120.8500000000004</v>
      </c>
      <c r="N205" s="56">
        <f>ROUND((4965*$T$1),0)*1.05</f>
        <v>5213.25</v>
      </c>
      <c r="O205" s="56">
        <f>ROUND((5017*$T$1),0)*1.05</f>
        <v>5267.85</v>
      </c>
      <c r="P205" s="56">
        <f>ROUND((5175*$T$1),0)*1.05</f>
        <v>5433.75</v>
      </c>
      <c r="Q205" s="56">
        <f>ROUND((5438*$T$1),0)*1.05</f>
        <v>5709.9000000000005</v>
      </c>
    </row>
    <row r="206" spans="1:17" ht="19.5" customHeight="1" x14ac:dyDescent="0.3">
      <c r="A206" s="42"/>
      <c r="B206" s="43" t="s">
        <v>221</v>
      </c>
      <c r="C206" s="44" t="s">
        <v>45</v>
      </c>
      <c r="D206" s="47">
        <v>1.3</v>
      </c>
      <c r="E206" s="46" t="s">
        <v>47</v>
      </c>
      <c r="F206" s="47">
        <v>1.63</v>
      </c>
      <c r="G206" s="46" t="s">
        <v>48</v>
      </c>
      <c r="H206" s="57">
        <v>0.92</v>
      </c>
      <c r="I206" s="48">
        <v>12.4</v>
      </c>
      <c r="J206" s="56">
        <f>ROUND((4135*$T$1),0)*1.05</f>
        <v>4341.75</v>
      </c>
      <c r="K206" s="56">
        <f>ROUND((4595*$T$1),0)*1.05</f>
        <v>4824.75</v>
      </c>
      <c r="L206" s="56">
        <f>ROUND((4669*$T$1),0)*1.05</f>
        <v>4902.45</v>
      </c>
      <c r="M206" s="56">
        <f>ROUND((4755*$T$1),0)*1.05</f>
        <v>4992.75</v>
      </c>
      <c r="N206" s="56">
        <f>ROUND((4840*$T$1),0)*1.05</f>
        <v>5082</v>
      </c>
      <c r="O206" s="56">
        <f>ROUND((4892*$T$1),0)*1.05</f>
        <v>5136.6000000000004</v>
      </c>
      <c r="P206" s="56">
        <f>ROUND((5045*$T$1),0)*1.05</f>
        <v>5297.25</v>
      </c>
      <c r="Q206" s="56">
        <f>ROUND((5303*$T$1),0)*1.05</f>
        <v>5568.1500000000005</v>
      </c>
    </row>
    <row r="207" spans="1:17" ht="19.5" customHeight="1" x14ac:dyDescent="0.3">
      <c r="A207" s="42"/>
      <c r="B207" s="43" t="s">
        <v>222</v>
      </c>
      <c r="C207" s="44" t="s">
        <v>45</v>
      </c>
      <c r="D207" s="47">
        <v>1.2</v>
      </c>
      <c r="E207" s="46" t="s">
        <v>47</v>
      </c>
      <c r="F207" s="47">
        <v>1.63</v>
      </c>
      <c r="G207" s="46" t="s">
        <v>48</v>
      </c>
      <c r="H207" s="57">
        <v>0.92</v>
      </c>
      <c r="I207" s="48">
        <v>12.1</v>
      </c>
      <c r="J207" s="56">
        <f>ROUND((4032*$T$1),0)*1.05</f>
        <v>4233.6000000000004</v>
      </c>
      <c r="K207" s="56">
        <f>ROUND((4480*$T$1),0)*1.05</f>
        <v>4704</v>
      </c>
      <c r="L207" s="56">
        <f>ROUND((4553*$T$1),0)*1.05</f>
        <v>4780.6500000000005</v>
      </c>
      <c r="M207" s="56">
        <f>ROUND((4636*$T$1),0)*1.05</f>
        <v>4867.8</v>
      </c>
      <c r="N207" s="56">
        <f>ROUND((4720*$T$1),0)*1.05</f>
        <v>4956</v>
      </c>
      <c r="O207" s="56">
        <f>ROUND((4769*$T$1),0)*1.05</f>
        <v>5007.45</v>
      </c>
      <c r="P207" s="56">
        <f>ROUND((4919*$T$1),0)*1.05</f>
        <v>5164.95</v>
      </c>
      <c r="Q207" s="56">
        <f>ROUND((5169*$T$1),0)*1.05</f>
        <v>5427.45</v>
      </c>
    </row>
    <row r="208" spans="1:17" ht="19.5" customHeight="1" x14ac:dyDescent="0.3">
      <c r="A208" s="42"/>
      <c r="B208" s="43"/>
      <c r="C208" s="44"/>
      <c r="D208" s="45"/>
      <c r="E208" s="46"/>
      <c r="F208" s="47"/>
      <c r="G208" s="46"/>
      <c r="H208" s="47"/>
      <c r="I208" s="48"/>
      <c r="J208" s="49"/>
      <c r="K208" s="49"/>
      <c r="L208" s="49"/>
      <c r="M208" s="49"/>
      <c r="N208" s="49"/>
      <c r="O208" s="49"/>
      <c r="P208" s="49"/>
      <c r="Q208" s="49"/>
    </row>
    <row r="209" spans="1:17" ht="19.5" customHeight="1" x14ac:dyDescent="0.3">
      <c r="A209" s="42"/>
      <c r="B209" s="43" t="s">
        <v>223</v>
      </c>
      <c r="C209" s="44" t="s">
        <v>45</v>
      </c>
      <c r="D209" s="47">
        <v>1.8</v>
      </c>
      <c r="E209" s="46" t="s">
        <v>47</v>
      </c>
      <c r="F209" s="47">
        <v>1.23</v>
      </c>
      <c r="G209" s="46" t="s">
        <v>48</v>
      </c>
      <c r="H209" s="57">
        <v>0.92</v>
      </c>
      <c r="I209" s="55">
        <v>11</v>
      </c>
      <c r="J209" s="56">
        <f>ROUND((3721*$T$1),0)*1.05</f>
        <v>3907.05</v>
      </c>
      <c r="K209" s="56">
        <f>ROUND((4134*$T$1),0)*1.05</f>
        <v>4340.7</v>
      </c>
      <c r="L209" s="56">
        <f>ROUND((4201*$T$1),0)*1.05</f>
        <v>4411.05</v>
      </c>
      <c r="M209" s="56">
        <f>ROUND((4278*$T$1),0)*1.05</f>
        <v>4491.9000000000005</v>
      </c>
      <c r="N209" s="56">
        <f>ROUND((4355*$T$1),0)*1.05</f>
        <v>4572.75</v>
      </c>
      <c r="O209" s="56">
        <f>ROUND((4401*$T$1),0)*1.05</f>
        <v>4621.05</v>
      </c>
      <c r="P209" s="56">
        <f>ROUND((4539*$T$1),0)*1.05</f>
        <v>4765.95</v>
      </c>
      <c r="Q209" s="56">
        <f>ROUND((4770*$T$1),0)*1.05</f>
        <v>5008.5</v>
      </c>
    </row>
    <row r="210" spans="1:17" ht="19.5" customHeight="1" x14ac:dyDescent="0.3">
      <c r="A210" s="42"/>
      <c r="B210" s="43" t="s">
        <v>224</v>
      </c>
      <c r="C210" s="44" t="s">
        <v>45</v>
      </c>
      <c r="D210" s="47">
        <v>1.7</v>
      </c>
      <c r="E210" s="46" t="s">
        <v>47</v>
      </c>
      <c r="F210" s="47">
        <v>1.23</v>
      </c>
      <c r="G210" s="46" t="s">
        <v>48</v>
      </c>
      <c r="H210" s="57">
        <v>0.92</v>
      </c>
      <c r="I210" s="55">
        <v>10.8</v>
      </c>
      <c r="J210" s="56">
        <f>ROUND((3628*$T$1),0)*1.05</f>
        <v>3809.4</v>
      </c>
      <c r="K210" s="56">
        <f>ROUND((4031*$T$1),0)*1.05</f>
        <v>4232.55</v>
      </c>
      <c r="L210" s="56">
        <f>ROUND((4096*$T$1),0)*1.05</f>
        <v>4300.8</v>
      </c>
      <c r="M210" s="56">
        <f>ROUND((4171*$T$1),0)*1.05</f>
        <v>4379.55</v>
      </c>
      <c r="N210" s="56">
        <f>ROUND((4246*$T$1),0)*1.05</f>
        <v>4458.3</v>
      </c>
      <c r="O210" s="56">
        <f>ROUND((4291*$T$1),0)*1.05</f>
        <v>4505.55</v>
      </c>
      <c r="P210" s="56">
        <f>ROUND((4425*$T$1),0)*1.05</f>
        <v>4646.25</v>
      </c>
      <c r="Q210" s="56">
        <f>ROUND((4651*$T$1),0)*1.05</f>
        <v>4883.55</v>
      </c>
    </row>
    <row r="211" spans="1:17" ht="19.5" customHeight="1" x14ac:dyDescent="0.3">
      <c r="A211" s="42"/>
      <c r="B211" s="43" t="s">
        <v>225</v>
      </c>
      <c r="C211" s="44" t="s">
        <v>45</v>
      </c>
      <c r="D211" s="47">
        <v>1.6</v>
      </c>
      <c r="E211" s="46" t="s">
        <v>47</v>
      </c>
      <c r="F211" s="47">
        <v>1.23</v>
      </c>
      <c r="G211" s="46" t="s">
        <v>48</v>
      </c>
      <c r="H211" s="57">
        <v>0.92</v>
      </c>
      <c r="I211" s="55">
        <v>10.6</v>
      </c>
      <c r="J211" s="56">
        <f>ROUND((3537*$T$1),0)*1.05</f>
        <v>3713.8500000000004</v>
      </c>
      <c r="K211" s="56">
        <f>ROUND((3930*$T$1),0)*1.05</f>
        <v>4126.5</v>
      </c>
      <c r="L211" s="56">
        <f>ROUND((3994*$T$1),0)*1.05</f>
        <v>4193.7</v>
      </c>
      <c r="M211" s="56">
        <f>ROUND((4066*$T$1),0)*1.05</f>
        <v>4269.3</v>
      </c>
      <c r="N211" s="56">
        <f>ROUND((4140*$T$1),0)*1.05</f>
        <v>4347</v>
      </c>
      <c r="O211" s="56">
        <f>ROUND((4184*$T$1),0)*1.05</f>
        <v>4393.2</v>
      </c>
      <c r="P211" s="56">
        <f>ROUND((4315*$T$1),0)*1.05</f>
        <v>4530.75</v>
      </c>
      <c r="Q211" s="56">
        <f>ROUND((4534*$T$1),0)*1.05</f>
        <v>4760.7</v>
      </c>
    </row>
    <row r="212" spans="1:17" ht="19.5" customHeight="1" x14ac:dyDescent="0.3">
      <c r="A212" s="42"/>
      <c r="B212" s="43"/>
      <c r="C212" s="44"/>
      <c r="D212" s="45"/>
      <c r="E212" s="46"/>
      <c r="F212" s="47"/>
      <c r="G212" s="46"/>
      <c r="H212" s="47"/>
      <c r="I212" s="48"/>
      <c r="J212" s="49"/>
      <c r="K212" s="49"/>
      <c r="L212" s="49"/>
      <c r="M212" s="49"/>
      <c r="N212" s="49"/>
      <c r="O212" s="49"/>
      <c r="P212" s="49"/>
      <c r="Q212" s="49"/>
    </row>
    <row r="213" spans="1:17" ht="19.5" customHeight="1" x14ac:dyDescent="0.3">
      <c r="A213" s="42"/>
      <c r="B213" s="43" t="s">
        <v>226</v>
      </c>
      <c r="C213" s="44" t="s">
        <v>45</v>
      </c>
      <c r="D213" s="47">
        <v>1.25</v>
      </c>
      <c r="E213" s="46" t="s">
        <v>47</v>
      </c>
      <c r="F213" s="47">
        <v>1.25</v>
      </c>
      <c r="G213" s="46" t="s">
        <v>48</v>
      </c>
      <c r="H213" s="57">
        <v>0.92</v>
      </c>
      <c r="I213" s="48">
        <v>10.3</v>
      </c>
      <c r="J213" s="49">
        <f>ROUND((3398*$T$1),0)*1.05</f>
        <v>3567.9</v>
      </c>
      <c r="K213" s="49">
        <f>ROUND((3777*$T$1),0)*1.05</f>
        <v>3965.8500000000004</v>
      </c>
      <c r="L213" s="49">
        <f>ROUND((3843*$T$1),0)*1.05</f>
        <v>4035.15</v>
      </c>
      <c r="M213" s="49">
        <f>ROUND((3920*$T$1),0)*1.05</f>
        <v>4116</v>
      </c>
      <c r="N213" s="49">
        <f>ROUND((3999*$T$1),0)*1.05</f>
        <v>4198.95</v>
      </c>
      <c r="O213" s="49">
        <f>ROUND((4045*$T$1),0)*1.05</f>
        <v>4247.25</v>
      </c>
      <c r="P213" s="49">
        <f>ROUND((4184*$T$1),0)*1.05</f>
        <v>4393.2</v>
      </c>
      <c r="Q213" s="49">
        <f>ROUND((4415*$T$1),0)*1.05</f>
        <v>4635.75</v>
      </c>
    </row>
    <row r="214" spans="1:17" ht="19.5" customHeight="1" x14ac:dyDescent="0.3">
      <c r="A214" s="42"/>
      <c r="B214" s="43"/>
      <c r="C214" s="44"/>
      <c r="D214" s="45"/>
      <c r="E214" s="46"/>
      <c r="F214" s="47"/>
      <c r="G214" s="46"/>
      <c r="H214" s="47"/>
      <c r="I214" s="102"/>
      <c r="J214" s="87"/>
      <c r="K214" s="87"/>
      <c r="L214" s="87"/>
      <c r="M214" s="87"/>
      <c r="N214" s="87"/>
      <c r="O214" s="87"/>
      <c r="P214" s="87"/>
      <c r="Q214" s="87"/>
    </row>
    <row r="215" spans="1:17" ht="19.5" customHeight="1" x14ac:dyDescent="0.3">
      <c r="A215" s="42"/>
      <c r="B215" s="59" t="s">
        <v>227</v>
      </c>
      <c r="C215" s="60"/>
      <c r="D215" s="59"/>
      <c r="E215" s="59"/>
      <c r="F215" s="59"/>
      <c r="G215" s="59"/>
      <c r="H215" s="59"/>
      <c r="I215" s="61"/>
      <c r="J215" s="62"/>
      <c r="K215" s="62"/>
      <c r="L215" s="62"/>
      <c r="M215" s="62"/>
      <c r="N215" s="62"/>
      <c r="O215" s="62"/>
      <c r="P215" s="62"/>
      <c r="Q215" s="62"/>
    </row>
    <row r="216" spans="1:17" ht="15" customHeight="1" x14ac:dyDescent="0.3">
      <c r="A216" s="42"/>
      <c r="B216" s="63"/>
      <c r="C216" s="64"/>
      <c r="D216" s="65"/>
      <c r="E216" s="49"/>
      <c r="F216" s="66"/>
      <c r="G216" s="48"/>
      <c r="H216" s="66"/>
      <c r="I216" s="48"/>
      <c r="J216" s="49"/>
      <c r="K216" s="49"/>
      <c r="L216" s="49"/>
      <c r="M216" s="87" t="s">
        <v>134</v>
      </c>
      <c r="N216" s="49"/>
      <c r="O216" s="49"/>
      <c r="P216" s="49"/>
      <c r="Q216" s="49"/>
    </row>
    <row r="217" spans="1:17" ht="23.25" customHeight="1" x14ac:dyDescent="0.25">
      <c r="A217" s="189" t="s">
        <v>228</v>
      </c>
      <c r="B217" s="189"/>
      <c r="C217" s="187" t="s">
        <v>41</v>
      </c>
      <c r="D217" s="187"/>
      <c r="E217" s="187"/>
      <c r="F217" s="187"/>
      <c r="G217" s="187"/>
      <c r="H217" s="187"/>
      <c r="I217" s="78" t="s">
        <v>42</v>
      </c>
      <c r="J217" s="41" t="s">
        <v>43</v>
      </c>
      <c r="K217" s="41">
        <v>1000</v>
      </c>
      <c r="L217" s="41">
        <v>2000</v>
      </c>
      <c r="M217" s="41">
        <v>3000</v>
      </c>
      <c r="N217" s="41">
        <v>4000</v>
      </c>
      <c r="O217" s="41">
        <v>5000</v>
      </c>
      <c r="P217" s="41">
        <v>6000</v>
      </c>
      <c r="Q217" s="41">
        <v>7000</v>
      </c>
    </row>
    <row r="218" spans="1:17" ht="19.5" customHeight="1" x14ac:dyDescent="0.3">
      <c r="A218" s="42"/>
      <c r="B218" s="50" t="s">
        <v>229</v>
      </c>
      <c r="C218" s="51" t="s">
        <v>45</v>
      </c>
      <c r="D218" s="54">
        <v>1.35</v>
      </c>
      <c r="E218" s="53" t="s">
        <v>47</v>
      </c>
      <c r="F218" s="54">
        <v>1.53</v>
      </c>
      <c r="G218" s="53" t="s">
        <v>48</v>
      </c>
      <c r="H218" s="90">
        <v>0.83</v>
      </c>
      <c r="I218" s="55">
        <v>10</v>
      </c>
      <c r="J218" s="56">
        <f>ROUND((4061*$T$1),0)*1.05</f>
        <v>4264.05</v>
      </c>
      <c r="K218" s="56">
        <f>ROUND((4511*$T$1),0)*1.05</f>
        <v>4736.55</v>
      </c>
      <c r="L218" s="56">
        <f>ROUND((4585*$T$1),0)*1.05</f>
        <v>4814.25</v>
      </c>
      <c r="M218" s="56">
        <f>ROUND((4669*$T$1),0)*1.05</f>
        <v>4902.45</v>
      </c>
      <c r="N218" s="56">
        <f>ROUND((4754*$T$1),0)*1.05</f>
        <v>4991.7</v>
      </c>
      <c r="O218" s="56">
        <f>ROUND((4806*$T$1),0)*1.05</f>
        <v>5046.3</v>
      </c>
      <c r="P218" s="56">
        <f>ROUND((4958*$T$1),0)*1.05</f>
        <v>5205.9000000000005</v>
      </c>
      <c r="Q218" s="56">
        <f>ROUND((5212*$T$1),0)*1.05</f>
        <v>5472.6</v>
      </c>
    </row>
    <row r="219" spans="1:17" ht="19.5" customHeight="1" x14ac:dyDescent="0.3">
      <c r="A219" s="42"/>
      <c r="B219" s="50" t="s">
        <v>230</v>
      </c>
      <c r="C219" s="51" t="s">
        <v>45</v>
      </c>
      <c r="D219" s="54">
        <v>1.25</v>
      </c>
      <c r="E219" s="53" t="s">
        <v>47</v>
      </c>
      <c r="F219" s="54">
        <v>1.53</v>
      </c>
      <c r="G219" s="53" t="s">
        <v>48</v>
      </c>
      <c r="H219" s="90">
        <v>0.83</v>
      </c>
      <c r="I219" s="55">
        <v>9.8000000000000007</v>
      </c>
      <c r="J219" s="56">
        <f>ROUND((3958*$T$1),0)*1.05</f>
        <v>4155.9000000000005</v>
      </c>
      <c r="K219" s="56">
        <f>ROUND((4399*$T$1),0)*1.05</f>
        <v>4618.95</v>
      </c>
      <c r="L219" s="56">
        <f>ROUND((4470*$T$1),0)*1.05</f>
        <v>4693.5</v>
      </c>
      <c r="M219" s="56">
        <f>ROUND((4553*$T$1),0)*1.05</f>
        <v>4780.6500000000005</v>
      </c>
      <c r="N219" s="56">
        <f>ROUND((4636*$T$1),0)*1.05</f>
        <v>4867.8</v>
      </c>
      <c r="O219" s="56">
        <f>ROUND((4686*$T$1),0)*1.05</f>
        <v>4920.3</v>
      </c>
      <c r="P219" s="56">
        <f>ROUND((4833*$T$1),0)*1.05</f>
        <v>5074.6500000000005</v>
      </c>
      <c r="Q219" s="56">
        <f>ROUND((5082*$T$1),0)*1.05</f>
        <v>5336.1</v>
      </c>
    </row>
    <row r="220" spans="1:17" ht="19.5" customHeight="1" x14ac:dyDescent="0.3">
      <c r="A220" s="42"/>
      <c r="B220" s="50" t="s">
        <v>231</v>
      </c>
      <c r="C220" s="51" t="s">
        <v>45</v>
      </c>
      <c r="D220" s="54">
        <v>1.1499999999999999</v>
      </c>
      <c r="E220" s="53" t="s">
        <v>47</v>
      </c>
      <c r="F220" s="54">
        <v>1.53</v>
      </c>
      <c r="G220" s="53" t="s">
        <v>48</v>
      </c>
      <c r="H220" s="90">
        <v>0.83</v>
      </c>
      <c r="I220" s="55">
        <v>9.8000000000000007</v>
      </c>
      <c r="J220" s="56">
        <f>ROUND((3859*$T$1),0)*1.05</f>
        <v>4051.9500000000003</v>
      </c>
      <c r="K220" s="56">
        <f>ROUND((4288*$T$1),0)*1.05</f>
        <v>4502.4000000000005</v>
      </c>
      <c r="L220" s="56">
        <f>ROUND((4359*$T$1),0)*1.05</f>
        <v>4576.95</v>
      </c>
      <c r="M220" s="56">
        <f>ROUND((4439*$T$1),0)*1.05</f>
        <v>4660.95</v>
      </c>
      <c r="N220" s="56">
        <f>ROUND((4520*$T$1),0)*1.05</f>
        <v>4746</v>
      </c>
      <c r="O220" s="56">
        <f>ROUND((4569*$T$1),0)*1.05</f>
        <v>4797.45</v>
      </c>
      <c r="P220" s="56">
        <f>ROUND((4713*$T$1),0)*1.05</f>
        <v>4948.6500000000005</v>
      </c>
      <c r="Q220" s="56">
        <f>ROUND((4954*$T$1),0)*1.05</f>
        <v>5201.7</v>
      </c>
    </row>
    <row r="221" spans="1:17" ht="19.5" customHeight="1" x14ac:dyDescent="0.3">
      <c r="A221" s="42"/>
      <c r="B221" s="51"/>
      <c r="C221" s="51"/>
      <c r="D221" s="54"/>
      <c r="E221" s="53"/>
      <c r="F221" s="54"/>
      <c r="G221" s="53"/>
      <c r="H221" s="90"/>
      <c r="I221" s="55"/>
      <c r="J221" s="56"/>
      <c r="K221" s="56"/>
      <c r="L221" s="56"/>
      <c r="M221" s="56"/>
      <c r="N221" s="56"/>
      <c r="O221" s="56"/>
      <c r="P221" s="56"/>
      <c r="Q221" s="56"/>
    </row>
    <row r="222" spans="1:17" ht="19.5" customHeight="1" x14ac:dyDescent="0.3">
      <c r="A222" s="42"/>
      <c r="B222" s="50" t="s">
        <v>232</v>
      </c>
      <c r="C222" s="51" t="s">
        <v>45</v>
      </c>
      <c r="D222" s="54">
        <v>1.2</v>
      </c>
      <c r="E222" s="53" t="s">
        <v>47</v>
      </c>
      <c r="F222" s="54">
        <v>1.53</v>
      </c>
      <c r="G222" s="53" t="s">
        <v>48</v>
      </c>
      <c r="H222" s="90">
        <v>0.83</v>
      </c>
      <c r="I222" s="55">
        <v>9</v>
      </c>
      <c r="J222" s="56">
        <f>ROUND((3778*$T$1),0)*1.05</f>
        <v>3966.9</v>
      </c>
      <c r="K222" s="56">
        <f>ROUND((4198*$T$1),0)*1.05</f>
        <v>4407.9000000000005</v>
      </c>
      <c r="L222" s="56">
        <f>ROUND((4260*$T$1),0)*1.05</f>
        <v>4473</v>
      </c>
      <c r="M222" s="56">
        <f>ROUND((4330*$T$1),0)*1.05</f>
        <v>4546.5</v>
      </c>
      <c r="N222" s="56">
        <f>ROUND((4401*$T$1),0)*1.05</f>
        <v>4621.05</v>
      </c>
      <c r="O222" s="56">
        <f>ROUND((4445*$T$1),0)*1.05</f>
        <v>4667.25</v>
      </c>
      <c r="P222" s="56">
        <f>ROUND((4572*$T$1),0)*1.05</f>
        <v>4800.6000000000004</v>
      </c>
      <c r="Q222" s="56">
        <f>ROUND((4786*$T$1),0)*1.05</f>
        <v>5025.3</v>
      </c>
    </row>
    <row r="223" spans="1:17" ht="19.5" customHeight="1" x14ac:dyDescent="0.3">
      <c r="A223" s="42"/>
      <c r="B223" s="50" t="s">
        <v>233</v>
      </c>
      <c r="C223" s="51" t="s">
        <v>45</v>
      </c>
      <c r="D223" s="54">
        <v>1.1000000000000001</v>
      </c>
      <c r="E223" s="53" t="s">
        <v>47</v>
      </c>
      <c r="F223" s="54">
        <v>1.53</v>
      </c>
      <c r="G223" s="53" t="s">
        <v>48</v>
      </c>
      <c r="H223" s="90">
        <v>0.83</v>
      </c>
      <c r="I223" s="55">
        <v>8.9</v>
      </c>
      <c r="J223" s="56">
        <f>ROUND((3702*$T$1),0)*1.05</f>
        <v>3887.1000000000004</v>
      </c>
      <c r="K223" s="56">
        <f>ROUND((4114*$T$1),0)*1.05</f>
        <v>4319.7</v>
      </c>
      <c r="L223" s="56">
        <f>ROUND((4175*$T$1),0)*1.05</f>
        <v>4383.75</v>
      </c>
      <c r="M223" s="56">
        <f>ROUND((4244*$T$1),0)*1.05</f>
        <v>4456.2</v>
      </c>
      <c r="N223" s="56">
        <f>ROUND((4313*$T$1),0)*1.05</f>
        <v>4528.6500000000005</v>
      </c>
      <c r="O223" s="56">
        <f>ROUND((4656*$T$1),0)*1.05</f>
        <v>4888.8</v>
      </c>
      <c r="P223" s="56">
        <f>ROUND((4480*$T$1),0)*1.05</f>
        <v>4704</v>
      </c>
      <c r="Q223" s="56">
        <f>ROUND((4691*$T$1),0)*1.05</f>
        <v>4925.55</v>
      </c>
    </row>
    <row r="224" spans="1:17" ht="19.5" customHeight="1" x14ac:dyDescent="0.3">
      <c r="A224" s="42"/>
      <c r="B224" s="50" t="s">
        <v>234</v>
      </c>
      <c r="C224" s="51" t="s">
        <v>45</v>
      </c>
      <c r="D224" s="54">
        <v>1</v>
      </c>
      <c r="E224" s="53" t="s">
        <v>47</v>
      </c>
      <c r="F224" s="54">
        <v>1.53</v>
      </c>
      <c r="G224" s="53" t="s">
        <v>48</v>
      </c>
      <c r="H224" s="90">
        <v>0.83</v>
      </c>
      <c r="I224" s="55">
        <v>8.8000000000000007</v>
      </c>
      <c r="J224" s="56">
        <f>ROUND((3628*$T$1),0)*1.05</f>
        <v>3809.4</v>
      </c>
      <c r="K224" s="56">
        <f>ROUND((4031*$T$1),0)*1.05</f>
        <v>4232.55</v>
      </c>
      <c r="L224" s="56">
        <f>ROUND((4091*$T$1),0)*1.05</f>
        <v>4295.55</v>
      </c>
      <c r="M224" s="56">
        <f>ROUND((4158*$T$1),0)*1.05</f>
        <v>4365.9000000000005</v>
      </c>
      <c r="N224" s="56">
        <f>ROUND((4226*$T$1),0)*1.05</f>
        <v>4437.3</v>
      </c>
      <c r="O224" s="56">
        <f>ROUND((4269*$T$1),0)*1.05</f>
        <v>4482.45</v>
      </c>
      <c r="P224" s="56">
        <f>ROUND((4392*$T$1),0)*1.05</f>
        <v>4611.6000000000004</v>
      </c>
      <c r="Q224" s="56">
        <f>ROUND((4597*$T$1),0)*1.05</f>
        <v>4826.8500000000004</v>
      </c>
    </row>
    <row r="225" spans="1:17" ht="19.5" customHeight="1" x14ac:dyDescent="0.3">
      <c r="A225" s="42"/>
      <c r="B225" s="51"/>
      <c r="C225" s="51"/>
      <c r="D225" s="54"/>
      <c r="E225" s="53"/>
      <c r="F225" s="54"/>
      <c r="G225" s="53"/>
      <c r="H225" s="90"/>
      <c r="I225" s="55"/>
      <c r="J225" s="56"/>
      <c r="K225" s="56"/>
      <c r="L225" s="56"/>
      <c r="M225" s="56"/>
      <c r="N225" s="56"/>
      <c r="O225" s="56"/>
      <c r="P225" s="56"/>
      <c r="Q225" s="56"/>
    </row>
    <row r="226" spans="1:17" ht="19.5" customHeight="1" x14ac:dyDescent="0.3">
      <c r="A226" s="42"/>
      <c r="B226" s="50" t="s">
        <v>98</v>
      </c>
      <c r="C226" s="51" t="s">
        <v>45</v>
      </c>
      <c r="D226" s="54">
        <v>1.02</v>
      </c>
      <c r="E226" s="53" t="s">
        <v>47</v>
      </c>
      <c r="F226" s="54">
        <v>1.53</v>
      </c>
      <c r="G226" s="53" t="s">
        <v>48</v>
      </c>
      <c r="H226" s="90">
        <v>0.42</v>
      </c>
      <c r="I226" s="55">
        <v>4.5</v>
      </c>
      <c r="J226" s="56">
        <f>ROUND((1766*$T$1),0)*1.05</f>
        <v>1854.3000000000002</v>
      </c>
      <c r="K226" s="56">
        <f>ROUND((1963*$T$1),0)*1.05</f>
        <v>2061.15</v>
      </c>
      <c r="L226" s="56">
        <f>ROUND((1996*$T$1),0)*1.05</f>
        <v>2095.8000000000002</v>
      </c>
      <c r="M226" s="56">
        <f>ROUND((2034*$T$1),0)*1.05</f>
        <v>2135.7000000000003</v>
      </c>
      <c r="N226" s="56">
        <f>ROUND((2072*$T$1),0)*1.05</f>
        <v>2175.6</v>
      </c>
      <c r="O226" s="56">
        <f>ROUND((2095*$T$1),0)*1.05</f>
        <v>2199.75</v>
      </c>
      <c r="P226" s="56">
        <f>ROUND((2164*$T$1),0)*1.05</f>
        <v>2272.2000000000003</v>
      </c>
      <c r="Q226" s="56">
        <f>ROUND((2278*$T$1),0)*1.05</f>
        <v>2391.9</v>
      </c>
    </row>
    <row r="227" spans="1:17" ht="19.5" customHeight="1" x14ac:dyDescent="0.3">
      <c r="A227" s="42"/>
      <c r="B227" s="50" t="s">
        <v>98</v>
      </c>
      <c r="C227" s="51" t="s">
        <v>45</v>
      </c>
      <c r="D227" s="54">
        <v>0.82</v>
      </c>
      <c r="E227" s="53" t="s">
        <v>47</v>
      </c>
      <c r="F227" s="54">
        <v>1.53</v>
      </c>
      <c r="G227" s="53" t="s">
        <v>48</v>
      </c>
      <c r="H227" s="90">
        <v>0.42</v>
      </c>
      <c r="I227" s="55">
        <v>4</v>
      </c>
      <c r="J227" s="56">
        <f>ROUND((1572*$T$1),0)*1.05</f>
        <v>1650.6000000000001</v>
      </c>
      <c r="K227" s="56">
        <f>ROUND((1747*$T$1),0)*1.05</f>
        <v>1834.3500000000001</v>
      </c>
      <c r="L227" s="56">
        <f>ROUND((1777*$T$1),0)*1.05</f>
        <v>1865.8500000000001</v>
      </c>
      <c r="M227" s="56">
        <f>ROUND((1810*$T$1),0)*1.05</f>
        <v>1900.5</v>
      </c>
      <c r="N227" s="56">
        <f>ROUND((1845*$T$1),0)*1.05</f>
        <v>1937.25</v>
      </c>
      <c r="O227" s="56">
        <f>ROUND((1865*$T$1),0)*1.05</f>
        <v>1958.25</v>
      </c>
      <c r="P227" s="56">
        <f>ROUND((1926*$T$1),0)*1.05</f>
        <v>2022.3000000000002</v>
      </c>
      <c r="Q227" s="56">
        <f>ROUND((2027*$T$1),0)*1.05</f>
        <v>2128.35</v>
      </c>
    </row>
    <row r="228" spans="1:17" ht="19.5" customHeight="1" x14ac:dyDescent="0.3">
      <c r="A228" s="42"/>
      <c r="B228" s="50" t="s">
        <v>98</v>
      </c>
      <c r="C228" s="51" t="s">
        <v>45</v>
      </c>
      <c r="D228" s="54">
        <v>0.62</v>
      </c>
      <c r="E228" s="53" t="s">
        <v>47</v>
      </c>
      <c r="F228" s="54">
        <v>1.53</v>
      </c>
      <c r="G228" s="53" t="s">
        <v>48</v>
      </c>
      <c r="H228" s="90">
        <v>0.42</v>
      </c>
      <c r="I228" s="55">
        <v>3.6</v>
      </c>
      <c r="J228" s="56">
        <f>ROUND((1415*$T$1),0)*1.05</f>
        <v>1485.75</v>
      </c>
      <c r="K228" s="56">
        <f>ROUND((1572*$T$1),0)*1.05</f>
        <v>1650.6000000000001</v>
      </c>
      <c r="L228" s="56">
        <f>ROUND((1829*$T$1),0)*1.05</f>
        <v>1920.45</v>
      </c>
      <c r="M228" s="56">
        <f>ROUND((1630*$T$1),0)*1.05</f>
        <v>1711.5</v>
      </c>
      <c r="N228" s="56">
        <f>ROUND((1661*$T$1),0)*1.05</f>
        <v>1744.0500000000002</v>
      </c>
      <c r="O228" s="56">
        <f>ROUND((1679*$T$1),0)*1.05</f>
        <v>1762.95</v>
      </c>
      <c r="P228" s="56">
        <f>ROUND((1734*$T$1),0)*1.05</f>
        <v>1820.7</v>
      </c>
      <c r="Q228" s="56">
        <f>ROUND((1825*$T$1),0)*1.05</f>
        <v>1916.25</v>
      </c>
    </row>
    <row r="229" spans="1:17" ht="19.5" customHeight="1" x14ac:dyDescent="0.3">
      <c r="A229" s="42"/>
      <c r="B229" s="50" t="s">
        <v>98</v>
      </c>
      <c r="C229" s="51" t="s">
        <v>45</v>
      </c>
      <c r="D229" s="54">
        <v>0.42</v>
      </c>
      <c r="E229" s="53" t="s">
        <v>47</v>
      </c>
      <c r="F229" s="54">
        <v>1.53</v>
      </c>
      <c r="G229" s="53" t="s">
        <v>48</v>
      </c>
      <c r="H229" s="90">
        <v>0.42</v>
      </c>
      <c r="I229" s="55">
        <v>3</v>
      </c>
      <c r="J229" s="56">
        <f>ROUND((1237*$T$1),0)*1.05</f>
        <v>1298.8500000000001</v>
      </c>
      <c r="K229" s="56">
        <f>ROUND((1374*$T$1),0)*1.05</f>
        <v>1442.7</v>
      </c>
      <c r="L229" s="56">
        <f>ROUND((1396*$T$1),0)*1.05</f>
        <v>1465.8</v>
      </c>
      <c r="M229" s="56">
        <f>ROUND((1423*$T$1),0)*1.05</f>
        <v>1494.15</v>
      </c>
      <c r="N229" s="56">
        <f>ROUND((1448*$T$1),0)*1.05</f>
        <v>1520.4</v>
      </c>
      <c r="O229" s="56">
        <f>ROUND((1463*$T$1),0)*1.05</f>
        <v>1536.15</v>
      </c>
      <c r="P229" s="56">
        <f>ROUND((1509*$T$1),0)*1.05</f>
        <v>1584.45</v>
      </c>
      <c r="Q229" s="56">
        <f>ROUND((1585*$T$1),0)*1.05</f>
        <v>1664.25</v>
      </c>
    </row>
    <row r="230" spans="1:17" ht="19.5" customHeight="1" x14ac:dyDescent="0.3">
      <c r="A230" s="42"/>
      <c r="B230" s="51"/>
      <c r="C230" s="51"/>
      <c r="D230" s="54"/>
      <c r="E230" s="53"/>
      <c r="F230" s="54"/>
      <c r="G230" s="53"/>
      <c r="H230" s="90"/>
      <c r="I230" s="55"/>
      <c r="J230" s="56"/>
      <c r="K230" s="56"/>
      <c r="L230" s="56"/>
      <c r="M230" s="56"/>
      <c r="N230" s="56"/>
      <c r="O230" s="56"/>
      <c r="P230" s="56"/>
      <c r="Q230" s="56"/>
    </row>
    <row r="231" spans="1:17" ht="19.5" customHeight="1" x14ac:dyDescent="0.3">
      <c r="A231" s="42"/>
      <c r="B231" s="50" t="s">
        <v>235</v>
      </c>
      <c r="C231" s="51"/>
      <c r="D231" s="54"/>
      <c r="E231" s="53"/>
      <c r="F231" s="54"/>
      <c r="G231" s="53"/>
      <c r="H231" s="90"/>
      <c r="I231" s="55"/>
      <c r="J231" s="56"/>
      <c r="K231" s="56">
        <f>ROUND((1779*$T$1),0)*1.05</f>
        <v>1867.95</v>
      </c>
      <c r="L231" s="56"/>
      <c r="M231" s="56"/>
      <c r="N231" s="56"/>
      <c r="O231" s="56"/>
      <c r="P231" s="56"/>
      <c r="Q231" s="56"/>
    </row>
    <row r="232" spans="1:17" ht="19.5" customHeight="1" x14ac:dyDescent="0.3">
      <c r="A232" s="42"/>
      <c r="B232" s="50" t="s">
        <v>236</v>
      </c>
      <c r="C232" s="51"/>
      <c r="D232" s="54"/>
      <c r="E232" s="53"/>
      <c r="F232" s="54"/>
      <c r="G232" s="53"/>
      <c r="H232" s="90"/>
      <c r="I232" s="55"/>
      <c r="J232" s="56"/>
      <c r="K232" s="56">
        <f>ROUND((2958*$T$1),0)*1.05</f>
        <v>3105.9</v>
      </c>
      <c r="L232" s="56"/>
      <c r="M232" s="56"/>
      <c r="N232" s="56"/>
      <c r="O232" s="56"/>
      <c r="P232" s="56"/>
      <c r="Q232" s="56"/>
    </row>
    <row r="233" spans="1:17" ht="19.5" customHeight="1" x14ac:dyDescent="0.3">
      <c r="A233" s="42"/>
      <c r="B233" s="50" t="s">
        <v>237</v>
      </c>
      <c r="C233" s="51"/>
      <c r="D233" s="54"/>
      <c r="E233" s="53"/>
      <c r="F233" s="54"/>
      <c r="G233" s="53"/>
      <c r="H233" s="90"/>
      <c r="I233" s="55"/>
      <c r="J233" s="56"/>
      <c r="K233" s="56">
        <f>ROUND((3938*$T$1),0)*1.05</f>
        <v>4134.9000000000005</v>
      </c>
      <c r="L233" s="56"/>
      <c r="M233" s="56"/>
      <c r="N233" s="56"/>
      <c r="O233" s="56"/>
      <c r="P233" s="56"/>
      <c r="Q233" s="56"/>
    </row>
    <row r="234" spans="1:17" ht="19.5" customHeight="1" x14ac:dyDescent="0.3">
      <c r="A234" s="42"/>
      <c r="B234" s="50" t="s">
        <v>238</v>
      </c>
      <c r="C234" s="51"/>
      <c r="D234" s="54"/>
      <c r="E234" s="53"/>
      <c r="F234" s="54"/>
      <c r="G234" s="53"/>
      <c r="H234" s="90"/>
      <c r="I234" s="55"/>
      <c r="J234" s="56"/>
      <c r="K234" s="56">
        <f>ROUND((4961*$T$1),0)*1.05</f>
        <v>5209.05</v>
      </c>
      <c r="L234" s="56"/>
      <c r="M234" s="56"/>
      <c r="N234" s="56"/>
      <c r="O234" s="56"/>
      <c r="P234" s="56"/>
      <c r="Q234" s="56"/>
    </row>
    <row r="235" spans="1:17" ht="19.5" customHeight="1" x14ac:dyDescent="0.3">
      <c r="A235" s="42"/>
      <c r="B235" s="44"/>
      <c r="C235" s="44"/>
      <c r="D235" s="47"/>
      <c r="E235" s="46"/>
      <c r="F235" s="47"/>
      <c r="G235" s="46"/>
      <c r="H235" s="57"/>
      <c r="I235" s="48"/>
      <c r="J235" s="49"/>
      <c r="K235" s="49"/>
      <c r="L235" s="49"/>
      <c r="M235" s="49"/>
      <c r="N235" s="49"/>
      <c r="O235" s="49"/>
      <c r="P235" s="49"/>
      <c r="Q235" s="49"/>
    </row>
    <row r="236" spans="1:17" ht="19.5" customHeight="1" x14ac:dyDescent="0.3">
      <c r="A236" s="42"/>
      <c r="B236" s="103" t="s">
        <v>239</v>
      </c>
      <c r="C236" s="51"/>
      <c r="D236" s="54"/>
      <c r="E236" s="53"/>
      <c r="F236" s="54"/>
      <c r="G236" s="53"/>
      <c r="H236" s="90"/>
      <c r="I236" s="55"/>
      <c r="J236" s="56"/>
      <c r="K236" s="56"/>
      <c r="L236" s="56"/>
      <c r="M236" s="56"/>
      <c r="N236" s="56"/>
      <c r="O236" s="56"/>
      <c r="P236" s="56"/>
      <c r="Q236" s="56"/>
    </row>
    <row r="237" spans="1:17" ht="19.5" customHeight="1" x14ac:dyDescent="0.3">
      <c r="A237" s="42"/>
      <c r="B237" s="44"/>
      <c r="C237" s="44"/>
      <c r="D237" s="47"/>
      <c r="E237" s="46"/>
      <c r="F237" s="47"/>
      <c r="G237" s="46"/>
      <c r="H237" s="57"/>
      <c r="I237" s="48"/>
      <c r="J237" s="49"/>
      <c r="K237" s="49"/>
      <c r="L237" s="49"/>
      <c r="M237" s="49"/>
      <c r="N237" s="49"/>
      <c r="O237" s="49"/>
      <c r="P237" s="49"/>
      <c r="Q237" s="49"/>
    </row>
    <row r="238" spans="1:17" ht="19.5" customHeight="1" x14ac:dyDescent="0.3">
      <c r="A238" s="190" t="s">
        <v>240</v>
      </c>
      <c r="B238" s="190"/>
      <c r="C238" s="190"/>
      <c r="D238" s="190"/>
      <c r="E238" s="190"/>
      <c r="F238" s="190"/>
      <c r="G238" s="190"/>
      <c r="H238" s="190"/>
      <c r="I238" s="190"/>
    </row>
    <row r="239" spans="1:17" ht="19.5" customHeight="1" x14ac:dyDescent="0.3">
      <c r="A239" s="42"/>
      <c r="B239" s="104"/>
      <c r="C239" s="104"/>
      <c r="D239" s="104"/>
      <c r="E239" s="104"/>
      <c r="F239" s="104"/>
      <c r="G239" s="104"/>
      <c r="H239" s="104"/>
      <c r="I239" s="104"/>
      <c r="J239" s="105"/>
      <c r="K239" s="105"/>
      <c r="L239" s="105"/>
      <c r="M239" s="105"/>
      <c r="N239" s="105"/>
      <c r="O239" s="105"/>
      <c r="P239" s="105"/>
      <c r="Q239" s="105"/>
    </row>
    <row r="240" spans="1:17" ht="19.5" customHeight="1" x14ac:dyDescent="0.3">
      <c r="A240" s="42"/>
      <c r="B240" s="51" t="s">
        <v>187</v>
      </c>
      <c r="C240" s="44"/>
      <c r="D240" s="47"/>
      <c r="E240" s="46"/>
      <c r="F240" s="47"/>
      <c r="G240" s="46"/>
      <c r="H240" s="57"/>
      <c r="I240" s="48"/>
      <c r="J240" s="49"/>
      <c r="K240" s="49">
        <f>ROUND((220*$T$1),0)*1.05</f>
        <v>231</v>
      </c>
      <c r="L240" s="49"/>
      <c r="M240" s="49"/>
      <c r="N240" s="49"/>
      <c r="O240" s="49"/>
      <c r="P240" s="49"/>
      <c r="Q240" s="49"/>
    </row>
    <row r="241" spans="1:17" ht="19.5" customHeight="1" x14ac:dyDescent="0.3">
      <c r="A241" s="42"/>
      <c r="B241" s="51" t="s">
        <v>188</v>
      </c>
      <c r="C241" s="44"/>
      <c r="D241" s="47"/>
      <c r="E241" s="46"/>
      <c r="F241" s="47"/>
      <c r="G241" s="46"/>
      <c r="H241" s="57"/>
      <c r="I241" s="48"/>
      <c r="J241" s="49"/>
      <c r="K241" s="49">
        <f>ROUND((132*$T$1),0)*1.05</f>
        <v>138.6</v>
      </c>
      <c r="L241" s="49"/>
      <c r="M241" s="49"/>
      <c r="N241" s="49"/>
      <c r="O241" s="49"/>
      <c r="P241" s="49"/>
      <c r="Q241" s="49"/>
    </row>
    <row r="242" spans="1:17" ht="19.5" customHeight="1" x14ac:dyDescent="0.3">
      <c r="A242" s="42"/>
      <c r="B242" s="51" t="s">
        <v>189</v>
      </c>
      <c r="C242" s="44"/>
      <c r="D242" s="47"/>
      <c r="E242" s="46"/>
      <c r="F242" s="47"/>
      <c r="G242" s="46"/>
      <c r="H242" s="57"/>
      <c r="I242" s="48"/>
      <c r="J242" s="49"/>
      <c r="K242" s="49">
        <f>ROUND((132*$T$1),0)*1.05</f>
        <v>138.6</v>
      </c>
      <c r="L242" s="49"/>
      <c r="M242" s="49"/>
      <c r="N242" s="49"/>
      <c r="O242" s="49"/>
      <c r="P242" s="49"/>
      <c r="Q242" s="49"/>
    </row>
    <row r="243" spans="1:17" ht="19.5" customHeight="1" x14ac:dyDescent="0.3">
      <c r="A243" s="42"/>
      <c r="B243" s="44"/>
      <c r="C243" s="44"/>
      <c r="D243" s="47"/>
      <c r="E243" s="46"/>
      <c r="F243" s="47"/>
      <c r="G243" s="46"/>
      <c r="H243" s="57"/>
      <c r="I243" s="48"/>
      <c r="J243" s="49"/>
      <c r="K243" s="49"/>
      <c r="L243" s="49"/>
      <c r="M243" s="49"/>
      <c r="N243" s="49"/>
      <c r="O243" s="49"/>
      <c r="P243" s="49"/>
      <c r="Q243" s="49"/>
    </row>
    <row r="244" spans="1:17" ht="19.5" customHeight="1" x14ac:dyDescent="0.35">
      <c r="A244" s="42"/>
      <c r="B244" s="92" t="s">
        <v>241</v>
      </c>
      <c r="C244" s="44"/>
      <c r="D244" s="47"/>
      <c r="E244" s="46"/>
      <c r="F244" s="47"/>
      <c r="G244" s="46"/>
      <c r="H244" s="57"/>
      <c r="I244" s="48"/>
      <c r="J244" s="49"/>
      <c r="K244" s="49"/>
      <c r="L244" s="49"/>
      <c r="M244" s="49"/>
      <c r="N244" s="49"/>
      <c r="O244" s="49"/>
      <c r="P244" s="49"/>
      <c r="Q244" s="49"/>
    </row>
    <row r="245" spans="1:17" ht="19.5" customHeight="1" x14ac:dyDescent="0.3">
      <c r="A245" s="42"/>
      <c r="B245" s="44"/>
      <c r="C245" s="44"/>
      <c r="D245" s="47"/>
      <c r="E245" s="46"/>
      <c r="F245" s="47"/>
      <c r="G245" s="46"/>
      <c r="H245" s="57"/>
      <c r="I245" s="48"/>
      <c r="J245" s="49"/>
      <c r="K245" s="49"/>
      <c r="L245" s="49"/>
      <c r="M245" s="49"/>
      <c r="N245" s="49"/>
      <c r="O245" s="49"/>
      <c r="P245" s="49"/>
      <c r="Q245" s="49"/>
    </row>
    <row r="246" spans="1:17" ht="19.5" customHeight="1" x14ac:dyDescent="0.35">
      <c r="A246" s="42"/>
      <c r="B246" s="83" t="s">
        <v>242</v>
      </c>
      <c r="C246" s="44"/>
      <c r="D246" s="47"/>
      <c r="E246" s="46"/>
      <c r="F246" s="47"/>
      <c r="G246" s="46"/>
      <c r="H246" s="57"/>
      <c r="I246" s="48"/>
      <c r="J246" s="49"/>
      <c r="K246" s="49"/>
      <c r="L246" s="49"/>
      <c r="M246" s="49"/>
      <c r="N246" s="49"/>
      <c r="O246" s="49"/>
      <c r="P246" s="49"/>
      <c r="Q246" s="49"/>
    </row>
    <row r="247" spans="1:17" ht="24" customHeight="1" x14ac:dyDescent="0.3">
      <c r="A247" s="42"/>
      <c r="B247" s="51"/>
      <c r="C247" s="191"/>
      <c r="D247" s="191"/>
      <c r="E247" s="191"/>
      <c r="F247" s="191"/>
      <c r="G247" s="191"/>
      <c r="H247" s="191"/>
      <c r="I247" s="191"/>
    </row>
    <row r="248" spans="1:17" ht="19.5" customHeight="1" x14ac:dyDescent="0.35">
      <c r="A248" s="42"/>
      <c r="B248" s="83" t="s">
        <v>123</v>
      </c>
      <c r="C248" s="44"/>
      <c r="D248" s="45"/>
      <c r="E248" s="46"/>
      <c r="F248" s="47"/>
      <c r="G248" s="46"/>
      <c r="H248" s="47"/>
      <c r="I248" s="102"/>
      <c r="J248" s="87"/>
      <c r="K248" s="87"/>
      <c r="L248" s="87"/>
      <c r="M248" s="87"/>
      <c r="N248" s="87"/>
      <c r="O248" s="87"/>
      <c r="P248" s="87"/>
      <c r="Q248" s="87"/>
    </row>
    <row r="249" spans="1:17" ht="19.5" customHeight="1" x14ac:dyDescent="0.3">
      <c r="A249" s="42"/>
      <c r="B249" s="43"/>
      <c r="C249" s="44"/>
      <c r="D249" s="45"/>
      <c r="E249" s="46"/>
      <c r="F249" s="47"/>
      <c r="G249" s="46"/>
      <c r="H249" s="47"/>
      <c r="I249" s="102"/>
      <c r="J249" s="87"/>
      <c r="K249" s="87"/>
      <c r="L249" s="87"/>
      <c r="M249" s="87"/>
      <c r="N249" s="87"/>
      <c r="O249" s="87"/>
      <c r="P249" s="87"/>
      <c r="Q249" s="87"/>
    </row>
    <row r="250" spans="1:17" ht="19.5" customHeight="1" x14ac:dyDescent="0.3">
      <c r="A250" s="42"/>
      <c r="B250" s="43"/>
      <c r="C250" s="44"/>
      <c r="D250" s="45"/>
      <c r="E250" s="46"/>
      <c r="F250" s="47"/>
      <c r="G250" s="46"/>
      <c r="H250" s="47"/>
      <c r="I250" s="102"/>
      <c r="J250" s="87"/>
      <c r="K250" s="87"/>
      <c r="L250" s="87"/>
      <c r="M250" s="87"/>
      <c r="N250" s="87"/>
      <c r="O250" s="87"/>
      <c r="P250" s="87"/>
      <c r="Q250" s="87"/>
    </row>
    <row r="251" spans="1:17" ht="19.5" customHeight="1" x14ac:dyDescent="0.3">
      <c r="A251" s="42"/>
      <c r="B251" s="59" t="s">
        <v>243</v>
      </c>
      <c r="C251" s="60"/>
      <c r="D251" s="59"/>
      <c r="E251" s="59"/>
      <c r="F251" s="59"/>
      <c r="G251" s="59"/>
      <c r="H251" s="59"/>
      <c r="I251" s="61"/>
      <c r="J251" s="62"/>
      <c r="K251" s="62"/>
      <c r="L251" s="62"/>
      <c r="M251" s="62"/>
      <c r="N251" s="62"/>
      <c r="O251" s="62"/>
      <c r="P251" s="62"/>
      <c r="Q251" s="62"/>
    </row>
    <row r="252" spans="1:17" ht="15" customHeight="1" x14ac:dyDescent="0.3">
      <c r="A252" s="42"/>
      <c r="B252" s="63"/>
      <c r="C252" s="64"/>
      <c r="D252" s="65"/>
      <c r="E252" s="49"/>
      <c r="F252" s="66"/>
      <c r="G252" s="48"/>
      <c r="H252" s="66"/>
      <c r="I252" s="48"/>
      <c r="J252" s="49"/>
      <c r="K252" s="49"/>
      <c r="L252" s="49"/>
      <c r="M252" s="49"/>
      <c r="N252" s="49"/>
      <c r="O252" s="49"/>
      <c r="P252" s="49"/>
      <c r="Q252" s="49"/>
    </row>
    <row r="253" spans="1:17" ht="29.1" customHeight="1" x14ac:dyDescent="0.25">
      <c r="A253" s="189" t="s">
        <v>244</v>
      </c>
      <c r="B253" s="189"/>
      <c r="C253" s="187" t="s">
        <v>41</v>
      </c>
      <c r="D253" s="187"/>
      <c r="E253" s="187"/>
      <c r="F253" s="187"/>
      <c r="G253" s="187"/>
      <c r="H253" s="187"/>
      <c r="I253" s="78" t="s">
        <v>42</v>
      </c>
      <c r="J253" s="41" t="s">
        <v>43</v>
      </c>
      <c r="K253" s="41">
        <v>1000</v>
      </c>
      <c r="L253" s="41">
        <v>2000</v>
      </c>
      <c r="M253" s="41">
        <v>3000</v>
      </c>
      <c r="N253" s="41">
        <v>4000</v>
      </c>
      <c r="O253" s="41">
        <v>5000</v>
      </c>
      <c r="P253" s="41">
        <v>6000</v>
      </c>
      <c r="Q253" s="41">
        <v>7000</v>
      </c>
    </row>
    <row r="254" spans="1:17" ht="19.5" customHeight="1" x14ac:dyDescent="0.3">
      <c r="A254" s="42"/>
      <c r="B254" s="50" t="s">
        <v>245</v>
      </c>
      <c r="C254" s="51" t="s">
        <v>45</v>
      </c>
      <c r="D254" s="47">
        <v>1.4</v>
      </c>
      <c r="E254" s="53" t="s">
        <v>47</v>
      </c>
      <c r="F254" s="47">
        <v>1.25</v>
      </c>
      <c r="G254" s="53" t="s">
        <v>48</v>
      </c>
      <c r="H254" s="90">
        <v>0.93</v>
      </c>
      <c r="I254" s="55">
        <v>11</v>
      </c>
      <c r="J254" s="56">
        <f>ROUND((3754*$T$1),0)*1.05</f>
        <v>3941.7000000000003</v>
      </c>
      <c r="K254" s="56">
        <f>ROUND((4171*$T$1),0)*1.05</f>
        <v>4379.55</v>
      </c>
      <c r="L254" s="56">
        <f>ROUND((4238*$T$1),0)*1.05</f>
        <v>4449.9000000000005</v>
      </c>
      <c r="M254" s="56">
        <f>ROUND((4314*$T$1),0)*1.05</f>
        <v>4529.7</v>
      </c>
      <c r="N254" s="56">
        <f>ROUND((4390*$T$1),0)*1.05</f>
        <v>4609.5</v>
      </c>
      <c r="O254" s="56">
        <f>ROUND((4436*$T$1),0)*1.05</f>
        <v>4657.8</v>
      </c>
      <c r="P254" s="56">
        <f>ROUND((4574*$T$1),0)*1.05</f>
        <v>4802.7</v>
      </c>
      <c r="Q254" s="56">
        <f>ROUND((4802*$T$1),0)*1.05</f>
        <v>5042.1000000000004</v>
      </c>
    </row>
    <row r="255" spans="1:17" ht="19.5" customHeight="1" x14ac:dyDescent="0.3">
      <c r="A255" s="42"/>
      <c r="B255" s="50" t="s">
        <v>246</v>
      </c>
      <c r="C255" s="51" t="s">
        <v>45</v>
      </c>
      <c r="D255" s="47">
        <v>1.3</v>
      </c>
      <c r="E255" s="53" t="s">
        <v>47</v>
      </c>
      <c r="F255" s="47">
        <v>1.25</v>
      </c>
      <c r="G255" s="53" t="s">
        <v>48</v>
      </c>
      <c r="H255" s="90">
        <v>0.93</v>
      </c>
      <c r="I255" s="55">
        <v>10.8</v>
      </c>
      <c r="J255" s="56">
        <f>ROUND((3660*$T$1),0)*1.05</f>
        <v>3843</v>
      </c>
      <c r="K255" s="56">
        <f>ROUND((4066*$T$1),0)*1.05</f>
        <v>4269.3</v>
      </c>
      <c r="L255" s="56">
        <f>ROUND((4132*$T$1),0)*1.05</f>
        <v>4338.6000000000004</v>
      </c>
      <c r="M255" s="56">
        <f>ROUND((4206*$T$1),0)*1.05</f>
        <v>4416.3</v>
      </c>
      <c r="N255" s="56">
        <f>ROUND((4280*$T$1),0)*1.05</f>
        <v>4494</v>
      </c>
      <c r="O255" s="56">
        <f>ROUND((4325*$T$1),0)*1.05</f>
        <v>4541.25</v>
      </c>
      <c r="P255" s="56">
        <f>ROUND((4460*$T$1),0)*1.05</f>
        <v>4683</v>
      </c>
      <c r="Q255" s="56">
        <f>ROUND((4683*$T$1),0)*1.05</f>
        <v>4917.1500000000005</v>
      </c>
    </row>
    <row r="256" spans="1:17" ht="19.5" customHeight="1" x14ac:dyDescent="0.3">
      <c r="A256" s="42"/>
      <c r="B256" s="50" t="s">
        <v>247</v>
      </c>
      <c r="C256" s="51" t="s">
        <v>45</v>
      </c>
      <c r="D256" s="47">
        <v>1.2</v>
      </c>
      <c r="E256" s="53" t="s">
        <v>47</v>
      </c>
      <c r="F256" s="47">
        <v>1.25</v>
      </c>
      <c r="G256" s="53" t="s">
        <v>48</v>
      </c>
      <c r="H256" s="90">
        <v>0.93</v>
      </c>
      <c r="I256" s="55">
        <v>10.8</v>
      </c>
      <c r="J256" s="56">
        <f>ROUND((3568*$T$1),0)*1.05</f>
        <v>3746.4</v>
      </c>
      <c r="K256" s="56">
        <f>ROUND((3965*$T$1),0)*1.05</f>
        <v>4163.25</v>
      </c>
      <c r="L256" s="56">
        <f>ROUND((4028*$T$1),0)*1.05</f>
        <v>4229.4000000000005</v>
      </c>
      <c r="M256" s="56">
        <f>ROUND((4101*$T$1),0)*1.05</f>
        <v>4306.05</v>
      </c>
      <c r="N256" s="56">
        <f>ROUND((4173*$T$1),0)*1.05</f>
        <v>4381.6500000000005</v>
      </c>
      <c r="O256" s="56">
        <f>ROUND((4217*$T$1),0)*1.05</f>
        <v>4427.8500000000004</v>
      </c>
      <c r="P256" s="56">
        <f>ROUND((4348*$T$1),0)*1.05</f>
        <v>4565.4000000000005</v>
      </c>
      <c r="Q256" s="56">
        <f>ROUND((4566*$T$1),0)*1.05</f>
        <v>4794.3</v>
      </c>
    </row>
    <row r="257" spans="1:17" ht="19.5" customHeight="1" x14ac:dyDescent="0.3">
      <c r="A257" s="42"/>
      <c r="B257" s="50" t="s">
        <v>248</v>
      </c>
      <c r="C257" s="51" t="s">
        <v>45</v>
      </c>
      <c r="D257" s="47">
        <v>1.1000000000000001</v>
      </c>
      <c r="E257" s="53" t="s">
        <v>47</v>
      </c>
      <c r="F257" s="47">
        <v>1.25</v>
      </c>
      <c r="G257" s="53" t="s">
        <v>48</v>
      </c>
      <c r="H257" s="90">
        <v>0.93</v>
      </c>
      <c r="I257" s="55">
        <v>10.6</v>
      </c>
      <c r="J257" s="56">
        <f>ROUND((3480*$T$1),0)*1.05</f>
        <v>3654</v>
      </c>
      <c r="K257" s="56">
        <f>ROUND((3866*$T$1),0)*1.05</f>
        <v>4059.3</v>
      </c>
      <c r="L257" s="56">
        <f>ROUND((3927*$T$1),0)*1.05</f>
        <v>4123.3500000000004</v>
      </c>
      <c r="M257" s="56">
        <f>ROUND((3999*$T$1),0)*1.05</f>
        <v>4198.95</v>
      </c>
      <c r="N257" s="56">
        <f>ROUND((4069*$T$1),0)*1.05</f>
        <v>4272.45</v>
      </c>
      <c r="O257" s="56">
        <f>ROUND((4111*$T$1),0)*1.05</f>
        <v>4316.55</v>
      </c>
      <c r="P257" s="56">
        <f>ROUND((4239*$T$1),0)*1.05</f>
        <v>4450.95</v>
      </c>
      <c r="Q257" s="56">
        <f>ROUND((4452*$T$1),0)*1.05</f>
        <v>4674.6000000000004</v>
      </c>
    </row>
    <row r="258" spans="1:17" ht="19.5" customHeight="1" x14ac:dyDescent="0.3">
      <c r="A258" s="42"/>
      <c r="B258" s="51"/>
      <c r="C258" s="51"/>
      <c r="D258" s="54"/>
      <c r="E258" s="53"/>
      <c r="F258" s="54"/>
      <c r="G258" s="53"/>
      <c r="H258" s="90"/>
      <c r="I258" s="55"/>
      <c r="J258" s="56"/>
      <c r="K258" s="56"/>
      <c r="L258" s="56"/>
      <c r="M258" s="56"/>
      <c r="N258" s="56"/>
      <c r="O258" s="56"/>
      <c r="P258" s="56"/>
      <c r="Q258" s="56"/>
    </row>
    <row r="259" spans="1:17" ht="19.5" customHeight="1" x14ac:dyDescent="0.3">
      <c r="A259" s="42"/>
      <c r="B259" s="50" t="s">
        <v>180</v>
      </c>
      <c r="C259" s="51" t="s">
        <v>45</v>
      </c>
      <c r="D259" s="47">
        <v>1.2</v>
      </c>
      <c r="E259" s="53" t="s">
        <v>47</v>
      </c>
      <c r="F259" s="47">
        <v>1.25</v>
      </c>
      <c r="G259" s="53" t="s">
        <v>48</v>
      </c>
      <c r="H259" s="90">
        <v>0.93</v>
      </c>
      <c r="I259" s="55">
        <v>9</v>
      </c>
      <c r="J259" s="56">
        <f>ROUND((3493*$T$1),0)*1.05</f>
        <v>3667.65</v>
      </c>
      <c r="K259" s="56">
        <f>ROUND((3880*$T$1),0)*1.05</f>
        <v>4074</v>
      </c>
      <c r="L259" s="56">
        <f>ROUND((3938*$T$1),0)*1.05</f>
        <v>4134.9000000000005</v>
      </c>
      <c r="M259" s="56">
        <f>ROUND((4003*$T$1),0)*1.05</f>
        <v>4203.1500000000005</v>
      </c>
      <c r="N259" s="56">
        <f>ROUND((4070*$T$1),0)*1.05</f>
        <v>4273.5</v>
      </c>
      <c r="O259" s="56">
        <f>ROUND((4110*$T$1),0)*1.05</f>
        <v>4315.5</v>
      </c>
      <c r="P259" s="56">
        <f>ROUND((4229*$T$1),0)*1.05</f>
        <v>4440.45</v>
      </c>
      <c r="Q259" s="56">
        <f>ROUND((4428*$T$1),0)*1.05</f>
        <v>4649.4000000000005</v>
      </c>
    </row>
    <row r="260" spans="1:17" ht="19.5" customHeight="1" x14ac:dyDescent="0.3">
      <c r="A260" s="42"/>
      <c r="B260" s="50" t="s">
        <v>181</v>
      </c>
      <c r="C260" s="51" t="s">
        <v>45</v>
      </c>
      <c r="D260" s="47">
        <v>1.1000000000000001</v>
      </c>
      <c r="E260" s="53" t="s">
        <v>47</v>
      </c>
      <c r="F260" s="47">
        <v>1.25</v>
      </c>
      <c r="G260" s="53" t="s">
        <v>48</v>
      </c>
      <c r="H260" s="90">
        <v>0.93</v>
      </c>
      <c r="I260" s="55">
        <v>8.8000000000000007</v>
      </c>
      <c r="J260" s="56">
        <f>ROUND((3405*$T$1),0)*1.05</f>
        <v>3575.25</v>
      </c>
      <c r="K260" s="56">
        <f>ROUND((3784*$T$1),0)*1.05</f>
        <v>3973.2000000000003</v>
      </c>
      <c r="L260" s="56">
        <f>ROUND((3839*$T$1),0)*1.05</f>
        <v>4030.9500000000003</v>
      </c>
      <c r="M260" s="56">
        <f>ROUND((3903*$T$1),0)*1.05</f>
        <v>4098.1500000000005</v>
      </c>
      <c r="N260" s="56">
        <f>ROUND((3969*$T$1),0)*1.05</f>
        <v>4167.45</v>
      </c>
      <c r="O260" s="56">
        <f>ROUND((4008*$T$1),0)*1.05</f>
        <v>4208.4000000000005</v>
      </c>
      <c r="P260" s="56">
        <f>ROUND((4123*$T$1),0)*1.05</f>
        <v>4329.1500000000005</v>
      </c>
      <c r="Q260" s="56">
        <f>ROUND((4317*$T$1),0)*1.05</f>
        <v>4532.8500000000004</v>
      </c>
    </row>
    <row r="261" spans="1:17" ht="19.5" customHeight="1" x14ac:dyDescent="0.3">
      <c r="A261" s="42"/>
      <c r="B261" s="50" t="s">
        <v>182</v>
      </c>
      <c r="C261" s="51" t="s">
        <v>45</v>
      </c>
      <c r="D261" s="47">
        <v>1</v>
      </c>
      <c r="E261" s="53" t="s">
        <v>47</v>
      </c>
      <c r="F261" s="47">
        <v>1.25</v>
      </c>
      <c r="G261" s="53" t="s">
        <v>48</v>
      </c>
      <c r="H261" s="90">
        <v>0.93</v>
      </c>
      <c r="I261" s="55">
        <v>8.8000000000000007</v>
      </c>
      <c r="J261" s="56">
        <f>ROUND((3320*$T$1),0)*1.05</f>
        <v>3486</v>
      </c>
      <c r="K261" s="56">
        <f>ROUND((3688*$T$1),0)*1.05</f>
        <v>3872.4</v>
      </c>
      <c r="L261" s="56">
        <f>ROUND((3743*$T$1),0)*1.05</f>
        <v>3930.15</v>
      </c>
      <c r="M261" s="56">
        <f>ROUND((3805*$T$1),0)*1.05</f>
        <v>3995.25</v>
      </c>
      <c r="N261" s="56">
        <f>ROUND((3869*$T$1),0)*1.05</f>
        <v>4062.4500000000003</v>
      </c>
      <c r="O261" s="56">
        <f>ROUND((3908*$T$1),0)*1.05</f>
        <v>4103.4000000000005</v>
      </c>
      <c r="P261" s="56">
        <f>ROUND((4019*$T$1),0)*1.05</f>
        <v>4219.95</v>
      </c>
      <c r="Q261" s="56">
        <f>ROUND((4209*$T$1),0)*1.05</f>
        <v>4419.45</v>
      </c>
    </row>
    <row r="262" spans="1:17" ht="19.5" customHeight="1" x14ac:dyDescent="0.3">
      <c r="A262" s="42"/>
      <c r="B262" s="50" t="s">
        <v>183</v>
      </c>
      <c r="C262" s="51" t="s">
        <v>45</v>
      </c>
      <c r="D262" s="47">
        <v>0.9</v>
      </c>
      <c r="E262" s="53" t="s">
        <v>47</v>
      </c>
      <c r="F262" s="47">
        <v>1.25</v>
      </c>
      <c r="G262" s="53" t="s">
        <v>48</v>
      </c>
      <c r="H262" s="90">
        <v>0.93</v>
      </c>
      <c r="I262" s="55">
        <v>8.6</v>
      </c>
      <c r="J262" s="56">
        <f>ROUND((3237*$T$1),0)*1.05</f>
        <v>3398.8500000000004</v>
      </c>
      <c r="K262" s="56">
        <f>ROUND((3596*$T$1),0)*1.05</f>
        <v>3775.8</v>
      </c>
      <c r="L262" s="56">
        <f>ROUND((3650*$T$1),0)*1.05</f>
        <v>3832.5</v>
      </c>
      <c r="M262" s="56">
        <f>ROUND((3710*$T$1),0)*1.05</f>
        <v>3895.5</v>
      </c>
      <c r="N262" s="56">
        <f>ROUND((3772*$T$1),0)*1.05</f>
        <v>3960.6000000000004</v>
      </c>
      <c r="O262" s="56">
        <f>ROUND((3810*$T$1),0)*1.05</f>
        <v>4000.5</v>
      </c>
      <c r="P262" s="56">
        <f>ROUND((3919*$T$1),0)*1.05</f>
        <v>4114.95</v>
      </c>
      <c r="Q262" s="56">
        <f>ROUND((4103*$T$1),0)*1.05</f>
        <v>4308.1500000000005</v>
      </c>
    </row>
    <row r="263" spans="1:17" ht="19.5" customHeight="1" x14ac:dyDescent="0.3">
      <c r="A263" s="42"/>
      <c r="B263" s="51"/>
      <c r="C263" s="51"/>
      <c r="D263" s="54"/>
      <c r="E263" s="53"/>
      <c r="F263" s="54"/>
      <c r="G263" s="53"/>
      <c r="H263" s="90"/>
      <c r="I263" s="55"/>
      <c r="J263" s="56"/>
      <c r="K263" s="56"/>
      <c r="L263" s="56"/>
      <c r="M263" s="56"/>
      <c r="N263" s="56"/>
      <c r="O263" s="56"/>
      <c r="P263" s="56"/>
      <c r="Q263" s="56"/>
    </row>
    <row r="264" spans="1:17" ht="19.5" customHeight="1" x14ac:dyDescent="0.3">
      <c r="A264" s="42"/>
      <c r="B264" s="50" t="s">
        <v>249</v>
      </c>
      <c r="C264" s="51" t="s">
        <v>45</v>
      </c>
      <c r="D264" s="47">
        <v>1.4</v>
      </c>
      <c r="E264" s="53" t="s">
        <v>47</v>
      </c>
      <c r="F264" s="47">
        <v>1.65</v>
      </c>
      <c r="G264" s="53" t="s">
        <v>48</v>
      </c>
      <c r="H264" s="90">
        <v>0.93</v>
      </c>
      <c r="I264" s="55">
        <v>11</v>
      </c>
      <c r="J264" s="56">
        <f>ROUND((4224*$T$1),0)*1.05</f>
        <v>4435.2</v>
      </c>
      <c r="K264" s="56">
        <f>ROUND((4693*$T$1),0)*1.05</f>
        <v>4927.6500000000005</v>
      </c>
      <c r="L264" s="56">
        <f>ROUND((4764*$T$1),0)*1.05</f>
        <v>5002.2</v>
      </c>
      <c r="M264" s="56">
        <f>ROUND((4847*$T$1),0)*1.05</f>
        <v>5089.3500000000004</v>
      </c>
      <c r="N264" s="56">
        <f>ROUND((4930*$T$1),0)*1.05</f>
        <v>5176.5</v>
      </c>
      <c r="O264" s="56">
        <f>ROUND((4980*$T$1),0)*1.05</f>
        <v>5229</v>
      </c>
      <c r="P264" s="56">
        <f>ROUND((5129*$T$1),0)*1.05</f>
        <v>5385.45</v>
      </c>
      <c r="Q264" s="56">
        <f>ROUND((5377*$T$1),0)*1.05</f>
        <v>5645.85</v>
      </c>
    </row>
    <row r="265" spans="1:17" ht="19.5" customHeight="1" x14ac:dyDescent="0.3">
      <c r="A265" s="42"/>
      <c r="B265" s="50" t="s">
        <v>250</v>
      </c>
      <c r="C265" s="51" t="s">
        <v>45</v>
      </c>
      <c r="D265" s="47">
        <v>1.3</v>
      </c>
      <c r="E265" s="53" t="s">
        <v>47</v>
      </c>
      <c r="F265" s="47">
        <v>1.65</v>
      </c>
      <c r="G265" s="53" t="s">
        <v>48</v>
      </c>
      <c r="H265" s="90">
        <v>0.93</v>
      </c>
      <c r="I265" s="55">
        <v>10.8</v>
      </c>
      <c r="J265" s="56">
        <f>ROUND((4118*$T$1),0)*1.05</f>
        <v>4323.9000000000005</v>
      </c>
      <c r="K265" s="56">
        <f>ROUND((4576*$T$1),0)*1.05</f>
        <v>4804.8</v>
      </c>
      <c r="L265" s="56">
        <f>ROUND((4645*$T$1),0)*1.05</f>
        <v>4877.25</v>
      </c>
      <c r="M265" s="56">
        <f>ROUND((4727*$T$1),0)*1.05</f>
        <v>4963.3500000000004</v>
      </c>
      <c r="N265" s="56">
        <f>ROUND((4807*$T$1),0)*1.05</f>
        <v>5047.3500000000004</v>
      </c>
      <c r="O265" s="56">
        <f>ROUND((4855*$T$1),0)*1.05</f>
        <v>5097.75</v>
      </c>
      <c r="P265" s="56">
        <f>ROUND((5001*$T$1),0)*1.05</f>
        <v>5251.05</v>
      </c>
      <c r="Q265" s="56">
        <f>ROUND((5243*$T$1),0)*1.05</f>
        <v>5505.1500000000005</v>
      </c>
    </row>
    <row r="266" spans="1:17" ht="19.5" customHeight="1" x14ac:dyDescent="0.3">
      <c r="A266" s="42"/>
      <c r="B266" s="50" t="s">
        <v>251</v>
      </c>
      <c r="C266" s="51" t="s">
        <v>45</v>
      </c>
      <c r="D266" s="47">
        <v>1.2</v>
      </c>
      <c r="E266" s="53" t="s">
        <v>47</v>
      </c>
      <c r="F266" s="47">
        <v>1.65</v>
      </c>
      <c r="G266" s="53" t="s">
        <v>48</v>
      </c>
      <c r="H266" s="90">
        <v>0.93</v>
      </c>
      <c r="I266" s="55">
        <v>10.8</v>
      </c>
      <c r="J266" s="56">
        <f>ROUND((4016*$T$1),0)*1.05</f>
        <v>4216.8</v>
      </c>
      <c r="K266" s="56">
        <f>ROUND((4462*$T$1),0)*1.05</f>
        <v>4685.1000000000004</v>
      </c>
      <c r="L266" s="56">
        <f>ROUND((4529*$T$1),0)*1.05</f>
        <v>4755.45</v>
      </c>
      <c r="M266" s="56">
        <f>ROUND((4608*$T$1),0)*1.05</f>
        <v>4838.4000000000005</v>
      </c>
      <c r="N266" s="56">
        <f>ROUND((4686*$T$1),0)*1.05</f>
        <v>4920.3</v>
      </c>
      <c r="O266" s="56">
        <f>ROUND((4733*$T$1),0)*1.05</f>
        <v>4969.6500000000005</v>
      </c>
      <c r="P266" s="56">
        <f>ROUND((4876*$T$1),0)*1.05</f>
        <v>5119.8</v>
      </c>
      <c r="Q266" s="56">
        <f>ROUND((5112*$T$1),0)*1.05</f>
        <v>5367.6</v>
      </c>
    </row>
    <row r="267" spans="1:17" ht="19.5" customHeight="1" x14ac:dyDescent="0.3">
      <c r="A267" s="42"/>
      <c r="B267" s="51"/>
      <c r="C267" s="51"/>
      <c r="D267" s="47"/>
      <c r="E267" s="53"/>
      <c r="F267" s="54"/>
      <c r="G267" s="53"/>
      <c r="H267" s="90"/>
      <c r="I267" s="55"/>
      <c r="J267" s="56"/>
      <c r="L267" s="56"/>
      <c r="M267" s="56"/>
      <c r="N267" s="56"/>
      <c r="O267" s="56"/>
      <c r="P267" s="56"/>
      <c r="Q267" s="56"/>
    </row>
    <row r="268" spans="1:17" ht="19.5" customHeight="1" x14ac:dyDescent="0.3">
      <c r="A268" s="42"/>
      <c r="B268" s="50" t="s">
        <v>184</v>
      </c>
      <c r="C268" s="51"/>
      <c r="D268" s="54"/>
      <c r="E268" s="53"/>
      <c r="F268" s="54"/>
      <c r="G268" s="53"/>
      <c r="H268" s="90"/>
      <c r="I268" s="55"/>
      <c r="J268" s="56"/>
      <c r="K268" s="56">
        <f>ROUND((1734*$T$1),0)*1.05</f>
        <v>1820.7</v>
      </c>
      <c r="L268" s="56"/>
      <c r="M268" s="56"/>
      <c r="N268" s="56"/>
      <c r="O268" s="56"/>
      <c r="P268" s="56"/>
      <c r="Q268" s="56"/>
    </row>
    <row r="269" spans="1:17" ht="19.5" customHeight="1" x14ac:dyDescent="0.3">
      <c r="A269" s="42"/>
      <c r="B269" s="50" t="s">
        <v>185</v>
      </c>
      <c r="C269" s="51"/>
      <c r="D269" s="54"/>
      <c r="E269" s="53"/>
      <c r="F269" s="54"/>
      <c r="G269" s="53"/>
      <c r="H269" s="90"/>
      <c r="I269" s="55"/>
      <c r="J269" s="56"/>
      <c r="K269" s="56">
        <f>ROUND((2765*$T$1),0)*1.05</f>
        <v>2903.25</v>
      </c>
      <c r="L269" s="56"/>
      <c r="M269" s="56"/>
      <c r="N269" s="56"/>
      <c r="O269" s="56"/>
      <c r="P269" s="56"/>
      <c r="Q269" s="56"/>
    </row>
    <row r="270" spans="1:17" ht="19.5" customHeight="1" x14ac:dyDescent="0.3">
      <c r="A270" s="42"/>
      <c r="B270" s="50" t="s">
        <v>186</v>
      </c>
      <c r="C270" s="51"/>
      <c r="D270" s="54"/>
      <c r="E270" s="53"/>
      <c r="F270" s="54"/>
      <c r="G270" s="53"/>
      <c r="H270" s="90"/>
      <c r="I270" s="55"/>
      <c r="J270" s="56"/>
      <c r="K270" s="56">
        <f>ROUND((3795*$T$1),0)*1.05</f>
        <v>3984.75</v>
      </c>
      <c r="L270" s="56"/>
      <c r="M270" s="56"/>
      <c r="N270" s="56"/>
      <c r="O270" s="56"/>
      <c r="P270" s="56"/>
      <c r="Q270" s="56"/>
    </row>
    <row r="271" spans="1:17" ht="19.5" customHeight="1" x14ac:dyDescent="0.3">
      <c r="A271" s="42"/>
      <c r="B271" s="44"/>
      <c r="C271" s="44"/>
      <c r="D271" s="47"/>
      <c r="E271" s="46"/>
      <c r="F271" s="47"/>
      <c r="G271" s="46"/>
      <c r="H271" s="57"/>
      <c r="I271" s="48"/>
      <c r="J271" s="49"/>
      <c r="K271" s="49"/>
      <c r="L271" s="49"/>
      <c r="M271" s="49"/>
      <c r="N271" s="49"/>
      <c r="O271" s="49"/>
      <c r="P271" s="49"/>
      <c r="Q271" s="49"/>
    </row>
    <row r="272" spans="1:17" ht="19.5" customHeight="1" x14ac:dyDescent="0.3">
      <c r="A272" s="42"/>
      <c r="B272" s="51" t="s">
        <v>187</v>
      </c>
      <c r="C272" s="44"/>
      <c r="D272" s="47"/>
      <c r="E272" s="46"/>
      <c r="F272" s="47"/>
      <c r="G272" s="46"/>
      <c r="H272" s="57"/>
      <c r="I272" s="48"/>
      <c r="J272" s="49"/>
      <c r="K272" s="49">
        <f>ROUND((220*$T$1),0)*1.05</f>
        <v>231</v>
      </c>
      <c r="L272" s="49"/>
      <c r="M272" s="49"/>
      <c r="N272" s="49"/>
      <c r="O272" s="49"/>
      <c r="P272" s="49"/>
      <c r="Q272" s="49"/>
    </row>
    <row r="273" spans="1:17" ht="19.5" customHeight="1" x14ac:dyDescent="0.3">
      <c r="A273" s="42"/>
      <c r="B273" s="51" t="s">
        <v>188</v>
      </c>
      <c r="C273" s="44"/>
      <c r="D273" s="47"/>
      <c r="E273" s="46"/>
      <c r="F273" s="47"/>
      <c r="G273" s="46"/>
      <c r="H273" s="57"/>
      <c r="I273" s="48"/>
      <c r="J273" s="49"/>
      <c r="K273" s="49">
        <f>ROUND((132*$T$1),0)*1.05</f>
        <v>138.6</v>
      </c>
      <c r="L273" s="49"/>
      <c r="M273" s="49"/>
      <c r="N273" s="49"/>
      <c r="O273" s="49"/>
      <c r="P273" s="49"/>
      <c r="Q273" s="49"/>
    </row>
    <row r="274" spans="1:17" ht="19.5" customHeight="1" x14ac:dyDescent="0.3">
      <c r="A274" s="42"/>
      <c r="B274" s="51" t="s">
        <v>189</v>
      </c>
      <c r="C274" s="44"/>
      <c r="D274" s="47"/>
      <c r="E274" s="46"/>
      <c r="F274" s="47"/>
      <c r="G274" s="46"/>
      <c r="H274" s="57"/>
      <c r="I274" s="48"/>
      <c r="J274" s="49"/>
      <c r="K274" s="49">
        <f>ROUND((132*$T$1),0)*1.05</f>
        <v>138.6</v>
      </c>
      <c r="L274" s="49"/>
      <c r="M274" s="49"/>
      <c r="N274" s="49"/>
      <c r="O274" s="49"/>
      <c r="P274" s="49"/>
      <c r="Q274" s="49"/>
    </row>
    <row r="275" spans="1:17" ht="19.5" customHeight="1" x14ac:dyDescent="0.3">
      <c r="A275" s="42"/>
      <c r="B275" s="44"/>
      <c r="C275" s="44"/>
      <c r="D275" s="47"/>
      <c r="E275" s="46"/>
      <c r="F275" s="47"/>
      <c r="G275" s="46"/>
      <c r="H275" s="57"/>
      <c r="I275" s="48"/>
      <c r="J275" s="49"/>
      <c r="K275" s="49"/>
      <c r="L275" s="49"/>
      <c r="M275" s="49"/>
      <c r="N275" s="49"/>
      <c r="O275" s="49"/>
      <c r="P275" s="49"/>
      <c r="Q275" s="49"/>
    </row>
    <row r="276" spans="1:17" ht="19.5" customHeight="1" x14ac:dyDescent="0.35">
      <c r="A276" s="42"/>
      <c r="B276" s="92" t="s">
        <v>190</v>
      </c>
      <c r="C276" s="44"/>
      <c r="D276" s="47"/>
      <c r="E276" s="46"/>
      <c r="F276" s="47"/>
      <c r="G276" s="46"/>
      <c r="H276" s="57"/>
      <c r="I276" s="48"/>
      <c r="J276" s="49"/>
      <c r="K276" s="49"/>
      <c r="L276" s="49"/>
      <c r="M276" s="49"/>
      <c r="N276" s="49"/>
      <c r="O276" s="49"/>
      <c r="P276" s="49"/>
      <c r="Q276" s="49"/>
    </row>
    <row r="277" spans="1:17" ht="19.5" customHeight="1" x14ac:dyDescent="0.3">
      <c r="A277" s="42"/>
      <c r="B277" s="44"/>
      <c r="C277" s="44"/>
      <c r="D277" s="47"/>
      <c r="E277" s="46"/>
      <c r="F277" s="47"/>
      <c r="G277" s="46"/>
      <c r="H277" s="57"/>
      <c r="I277" s="48"/>
      <c r="J277" s="49"/>
      <c r="K277" s="49"/>
      <c r="L277" s="49"/>
      <c r="M277" s="49"/>
      <c r="N277" s="49"/>
      <c r="O277" s="49"/>
      <c r="P277" s="49"/>
      <c r="Q277" s="49"/>
    </row>
    <row r="278" spans="1:17" ht="19.5" customHeight="1" x14ac:dyDescent="0.3">
      <c r="A278" s="42"/>
      <c r="B278" s="43" t="s">
        <v>252</v>
      </c>
      <c r="C278" s="44" t="s">
        <v>45</v>
      </c>
      <c r="D278" s="47">
        <v>1.4</v>
      </c>
      <c r="E278" s="46" t="s">
        <v>47</v>
      </c>
      <c r="F278" s="47">
        <v>1.25</v>
      </c>
      <c r="G278" s="46" t="s">
        <v>48</v>
      </c>
      <c r="H278" s="90">
        <v>0.93</v>
      </c>
      <c r="I278" s="48">
        <v>11</v>
      </c>
      <c r="J278" s="49">
        <f>ROUND((3754*$T$1),0)*1.05</f>
        <v>3941.7000000000003</v>
      </c>
      <c r="K278" s="56">
        <f>ROUND((4171*$T$1),0)*1.05</f>
        <v>4379.55</v>
      </c>
      <c r="L278" s="56">
        <f>ROUND((4238*$T$1),0)*1.05</f>
        <v>4449.9000000000005</v>
      </c>
      <c r="M278" s="56">
        <f>ROUND((4314*$T$1),0)*1.05</f>
        <v>4529.7</v>
      </c>
      <c r="N278" s="56">
        <f>ROUND((4390*$T$1),0)*1.05</f>
        <v>4609.5</v>
      </c>
      <c r="O278" s="56">
        <f>ROUND((4436*$T$1),0)*1.05</f>
        <v>4657.8</v>
      </c>
      <c r="P278" s="56">
        <f>ROUND((4574*$T$1),0)*1.05</f>
        <v>4802.7</v>
      </c>
      <c r="Q278" s="56">
        <f>ROUND((4802*$T$1),0)*1.05</f>
        <v>5042.1000000000004</v>
      </c>
    </row>
    <row r="279" spans="1:17" ht="19.5" customHeight="1" x14ac:dyDescent="0.3">
      <c r="A279" s="42"/>
      <c r="B279" s="43" t="s">
        <v>253</v>
      </c>
      <c r="C279" s="44" t="s">
        <v>45</v>
      </c>
      <c r="D279" s="47">
        <v>1.3</v>
      </c>
      <c r="E279" s="46" t="s">
        <v>47</v>
      </c>
      <c r="F279" s="47">
        <v>1.25</v>
      </c>
      <c r="G279" s="46" t="s">
        <v>48</v>
      </c>
      <c r="H279" s="90">
        <v>0.93</v>
      </c>
      <c r="I279" s="48">
        <v>10.8</v>
      </c>
      <c r="J279" s="49">
        <f>ROUND((3660*$T$1),0)*1.05</f>
        <v>3843</v>
      </c>
      <c r="K279" s="56">
        <f>ROUND((4066*$T$1),0)*1.05</f>
        <v>4269.3</v>
      </c>
      <c r="L279" s="56">
        <f>ROUND((4132*$T$1),0)*1.05</f>
        <v>4338.6000000000004</v>
      </c>
      <c r="M279" s="56">
        <f>ROUND((4206*$T$1),0)*1.05</f>
        <v>4416.3</v>
      </c>
      <c r="N279" s="56">
        <f>ROUND((4280*$T$1),0)*1.05</f>
        <v>4494</v>
      </c>
      <c r="O279" s="56">
        <f>ROUND((4325*$T$1),0)*1.05</f>
        <v>4541.25</v>
      </c>
      <c r="P279" s="56">
        <f>ROUND((4460*$T$1),0)*1.05</f>
        <v>4683</v>
      </c>
      <c r="Q279" s="56">
        <f>ROUND((4683*$T$1),0)*1.05</f>
        <v>4917.1500000000005</v>
      </c>
    </row>
    <row r="280" spans="1:17" ht="19.5" customHeight="1" x14ac:dyDescent="0.3">
      <c r="A280" s="42"/>
      <c r="B280" s="43" t="s">
        <v>254</v>
      </c>
      <c r="C280" s="44" t="s">
        <v>45</v>
      </c>
      <c r="D280" s="47">
        <v>1.2</v>
      </c>
      <c r="E280" s="46" t="s">
        <v>47</v>
      </c>
      <c r="F280" s="47">
        <v>1.25</v>
      </c>
      <c r="G280" s="46" t="s">
        <v>48</v>
      </c>
      <c r="H280" s="90">
        <v>0.93</v>
      </c>
      <c r="I280" s="48">
        <v>10.8</v>
      </c>
      <c r="J280" s="49">
        <f>ROUND((3568*$T$1),0)*1.05</f>
        <v>3746.4</v>
      </c>
      <c r="K280" s="56">
        <f>ROUND((3965*$T$1),0)*1.05</f>
        <v>4163.25</v>
      </c>
      <c r="L280" s="56">
        <f>ROUND((4028*$T$1),0)*1.05</f>
        <v>4229.4000000000005</v>
      </c>
      <c r="M280" s="56">
        <f>ROUND((4101*$T$1),0)*1.05</f>
        <v>4306.05</v>
      </c>
      <c r="N280" s="56">
        <f>ROUND((4173*$T$1),0)*1.05</f>
        <v>4381.6500000000005</v>
      </c>
      <c r="O280" s="56">
        <f>ROUND((4217*$T$1),0)*1.05</f>
        <v>4427.8500000000004</v>
      </c>
      <c r="P280" s="56">
        <f>ROUND((4348*$T$1),0)*1.05</f>
        <v>4565.4000000000005</v>
      </c>
      <c r="Q280" s="56">
        <f>ROUND((4566*$T$1),0)*1.05</f>
        <v>4794.3</v>
      </c>
    </row>
    <row r="281" spans="1:17" ht="19.5" customHeight="1" x14ac:dyDescent="0.3">
      <c r="A281" s="42"/>
      <c r="B281" s="43" t="s">
        <v>255</v>
      </c>
      <c r="C281" s="44" t="s">
        <v>45</v>
      </c>
      <c r="D281" s="47">
        <v>1.1000000000000001</v>
      </c>
      <c r="E281" s="46" t="s">
        <v>47</v>
      </c>
      <c r="F281" s="47">
        <v>1.25</v>
      </c>
      <c r="G281" s="46" t="s">
        <v>48</v>
      </c>
      <c r="H281" s="90">
        <v>0.93</v>
      </c>
      <c r="I281" s="48">
        <v>10.6</v>
      </c>
      <c r="J281" s="49">
        <f>ROUND((3480*$T$1),0)*1.05</f>
        <v>3654</v>
      </c>
      <c r="K281" s="56">
        <f>ROUND((3866*$T$1),0)*1.05</f>
        <v>4059.3</v>
      </c>
      <c r="L281" s="56">
        <f>ROUND((3927*$T$1),0)*1.05</f>
        <v>4123.3500000000004</v>
      </c>
      <c r="M281" s="56">
        <f>ROUND((3999*$T$1),0)*1.05</f>
        <v>4198.95</v>
      </c>
      <c r="N281" s="56">
        <f>ROUND((4069*$T$1),0)*1.05</f>
        <v>4272.45</v>
      </c>
      <c r="O281" s="56">
        <f>ROUND((4111*$T$1),0)*1.05</f>
        <v>4316.55</v>
      </c>
      <c r="P281" s="56">
        <f>ROUND((4239*$T$1),0)*1.05</f>
        <v>4450.95</v>
      </c>
      <c r="Q281" s="56">
        <f>ROUND((4452*$T$1),0)*1.05</f>
        <v>4674.6000000000004</v>
      </c>
    </row>
    <row r="282" spans="1:17" ht="19.5" customHeight="1" x14ac:dyDescent="0.3">
      <c r="A282" s="42"/>
      <c r="B282" s="94"/>
      <c r="C282" s="44"/>
      <c r="D282" s="47"/>
      <c r="E282" s="46"/>
      <c r="F282" s="47"/>
      <c r="G282" s="46"/>
      <c r="H282" s="57"/>
      <c r="I282" s="48"/>
      <c r="J282" s="49"/>
      <c r="K282" s="56"/>
      <c r="L282" s="56"/>
      <c r="M282" s="56"/>
      <c r="N282" s="56"/>
      <c r="O282" s="56"/>
      <c r="P282" s="56"/>
      <c r="Q282" s="56"/>
    </row>
    <row r="283" spans="1:17" ht="19.5" customHeight="1" x14ac:dyDescent="0.3">
      <c r="A283" s="42"/>
      <c r="B283" s="43" t="s">
        <v>195</v>
      </c>
      <c r="C283" s="44" t="s">
        <v>45</v>
      </c>
      <c r="D283" s="47">
        <v>1.2</v>
      </c>
      <c r="E283" s="46" t="s">
        <v>47</v>
      </c>
      <c r="F283" s="47">
        <v>1.25</v>
      </c>
      <c r="G283" s="46" t="s">
        <v>48</v>
      </c>
      <c r="H283" s="90">
        <v>0.93</v>
      </c>
      <c r="I283" s="48">
        <v>9</v>
      </c>
      <c r="J283" s="49">
        <f>ROUND((3493*$T$1),0)*1.05</f>
        <v>3667.65</v>
      </c>
      <c r="K283" s="56">
        <f>ROUND((3880*$T$1),0)*1.05</f>
        <v>4074</v>
      </c>
      <c r="L283" s="56">
        <f>ROUND((3938*$T$1),0)*1.05</f>
        <v>4134.9000000000005</v>
      </c>
      <c r="M283" s="56">
        <f>ROUND((4003*$T$1),0)*1.05</f>
        <v>4203.1500000000005</v>
      </c>
      <c r="N283" s="56">
        <f>ROUND((4070*$T$1),0)*1.05</f>
        <v>4273.5</v>
      </c>
      <c r="O283" s="56">
        <f>ROUND((4110*$T$1),0)*1.05</f>
        <v>4315.5</v>
      </c>
      <c r="P283" s="56">
        <f>ROUND((4229*$T$1),0)*1.05</f>
        <v>4440.45</v>
      </c>
      <c r="Q283" s="56">
        <f>ROUND((4428*$T$1),0)*1.05</f>
        <v>4649.4000000000005</v>
      </c>
    </row>
    <row r="284" spans="1:17" ht="19.5" customHeight="1" x14ac:dyDescent="0.3">
      <c r="A284" s="42"/>
      <c r="B284" s="43" t="s">
        <v>196</v>
      </c>
      <c r="C284" s="44" t="s">
        <v>45</v>
      </c>
      <c r="D284" s="47">
        <v>1.1000000000000001</v>
      </c>
      <c r="E284" s="46" t="s">
        <v>47</v>
      </c>
      <c r="F284" s="47">
        <v>1.25</v>
      </c>
      <c r="G284" s="46" t="s">
        <v>48</v>
      </c>
      <c r="H284" s="90">
        <v>0.93</v>
      </c>
      <c r="I284" s="48">
        <v>8.8000000000000007</v>
      </c>
      <c r="J284" s="49">
        <f>ROUND((3405*$T$1),0)*1.05</f>
        <v>3575.25</v>
      </c>
      <c r="K284" s="56">
        <f>ROUND((3784*$T$1),0)*1.05</f>
        <v>3973.2000000000003</v>
      </c>
      <c r="L284" s="56">
        <f>ROUND((3839*$T$1),0)*1.05</f>
        <v>4030.9500000000003</v>
      </c>
      <c r="M284" s="56">
        <f>ROUND((3903*$T$1),0)*1.05</f>
        <v>4098.1500000000005</v>
      </c>
      <c r="N284" s="56">
        <f>ROUND((3969*$T$1),0)*1.05</f>
        <v>4167.45</v>
      </c>
      <c r="O284" s="56">
        <f>ROUND((4008*$T$1),0)*1.05</f>
        <v>4208.4000000000005</v>
      </c>
      <c r="P284" s="56">
        <f>ROUND((4123*$T$1),0)*1.05</f>
        <v>4329.1500000000005</v>
      </c>
      <c r="Q284" s="56">
        <f>ROUND((4317*$T$1),0)*1.05</f>
        <v>4532.8500000000004</v>
      </c>
    </row>
    <row r="285" spans="1:17" ht="19.5" customHeight="1" x14ac:dyDescent="0.3">
      <c r="A285" s="42"/>
      <c r="B285" s="43" t="s">
        <v>197</v>
      </c>
      <c r="C285" s="44" t="s">
        <v>45</v>
      </c>
      <c r="D285" s="47">
        <v>1</v>
      </c>
      <c r="E285" s="46" t="s">
        <v>47</v>
      </c>
      <c r="F285" s="47">
        <v>1.25</v>
      </c>
      <c r="G285" s="46" t="s">
        <v>48</v>
      </c>
      <c r="H285" s="90">
        <v>0.93</v>
      </c>
      <c r="I285" s="48">
        <v>8.8000000000000007</v>
      </c>
      <c r="J285" s="49">
        <f>ROUND((3320*$T$1),0)*1.05</f>
        <v>3486</v>
      </c>
      <c r="K285" s="56">
        <f>ROUND((3688*$T$1),0)*1.05</f>
        <v>3872.4</v>
      </c>
      <c r="L285" s="56">
        <f>ROUND((3743*$T$1),0)*1.05</f>
        <v>3930.15</v>
      </c>
      <c r="M285" s="56">
        <f>ROUND((3805*$T$1),0)*1.05</f>
        <v>3995.25</v>
      </c>
      <c r="N285" s="56">
        <f>ROUND((3869*$T$1),0)*1.05</f>
        <v>4062.4500000000003</v>
      </c>
      <c r="O285" s="56">
        <f>ROUND((3908*$T$1),0)*1.05</f>
        <v>4103.4000000000005</v>
      </c>
      <c r="P285" s="56">
        <f>ROUND((4019*$T$1),0)*1.05</f>
        <v>4219.95</v>
      </c>
      <c r="Q285" s="56">
        <f>ROUND((4209*$T$1),0)*1.05</f>
        <v>4419.45</v>
      </c>
    </row>
    <row r="286" spans="1:17" ht="19.5" customHeight="1" x14ac:dyDescent="0.3">
      <c r="A286" s="42"/>
      <c r="B286" s="43" t="s">
        <v>198</v>
      </c>
      <c r="C286" s="44" t="s">
        <v>45</v>
      </c>
      <c r="D286" s="47">
        <v>0.9</v>
      </c>
      <c r="E286" s="46" t="s">
        <v>47</v>
      </c>
      <c r="F286" s="47">
        <v>1.25</v>
      </c>
      <c r="G286" s="46" t="s">
        <v>48</v>
      </c>
      <c r="H286" s="90">
        <v>0.93</v>
      </c>
      <c r="I286" s="48">
        <v>8.6</v>
      </c>
      <c r="J286" s="49">
        <f>ROUND((3237*$T$1),0)*1.05</f>
        <v>3398.8500000000004</v>
      </c>
      <c r="K286" s="56">
        <f>ROUND((3596*$T$1),0)*1.05</f>
        <v>3775.8</v>
      </c>
      <c r="L286" s="56">
        <f>ROUND((3650*$T$1),0)*1.05</f>
        <v>3832.5</v>
      </c>
      <c r="M286" s="56">
        <f>ROUND((3710*$T$1),0)*1.05</f>
        <v>3895.5</v>
      </c>
      <c r="N286" s="56">
        <f>ROUND((3772*$T$1),0)*1.05</f>
        <v>3960.6000000000004</v>
      </c>
      <c r="O286" s="56">
        <f>ROUND((3810*$T$1),0)*1.05</f>
        <v>4000.5</v>
      </c>
      <c r="P286" s="56">
        <f>ROUND((3919*$T$1),0)*1.05</f>
        <v>4114.95</v>
      </c>
      <c r="Q286" s="56">
        <f>ROUND((4103*$T$1),0)*1.05</f>
        <v>4308.1500000000005</v>
      </c>
    </row>
    <row r="287" spans="1:17" ht="19.5" customHeight="1" x14ac:dyDescent="0.3">
      <c r="A287" s="42"/>
      <c r="B287" s="44"/>
      <c r="C287" s="44"/>
      <c r="D287" s="47"/>
      <c r="E287" s="46"/>
      <c r="F287" s="47"/>
      <c r="G287" s="46"/>
      <c r="H287" s="57"/>
      <c r="I287" s="48"/>
      <c r="J287" s="49"/>
      <c r="K287" s="56"/>
      <c r="L287" s="56"/>
      <c r="M287" s="56"/>
      <c r="N287" s="56"/>
      <c r="O287" s="56"/>
      <c r="P287" s="56"/>
      <c r="Q287" s="56"/>
    </row>
    <row r="288" spans="1:17" ht="19.5" customHeight="1" x14ac:dyDescent="0.3">
      <c r="A288" s="42"/>
      <c r="B288" s="43" t="s">
        <v>256</v>
      </c>
      <c r="C288" s="44" t="s">
        <v>45</v>
      </c>
      <c r="D288" s="47">
        <v>1.4</v>
      </c>
      <c r="E288" s="46" t="s">
        <v>47</v>
      </c>
      <c r="F288" s="47">
        <v>1.65</v>
      </c>
      <c r="G288" s="46" t="s">
        <v>48</v>
      </c>
      <c r="H288" s="90">
        <v>0.93</v>
      </c>
      <c r="I288" s="48">
        <v>11</v>
      </c>
      <c r="J288" s="49">
        <f>ROUND((4224*$T$1),0)*1.05</f>
        <v>4435.2</v>
      </c>
      <c r="K288" s="56">
        <f>ROUND((4693*$T$1),0)*1.05</f>
        <v>4927.6500000000005</v>
      </c>
      <c r="L288" s="56">
        <f>ROUND((4764*$T$1),0)*1.05</f>
        <v>5002.2</v>
      </c>
      <c r="M288" s="56">
        <f>ROUND((4847*$T$1),0)*1.05</f>
        <v>5089.3500000000004</v>
      </c>
      <c r="N288" s="56">
        <f>ROUND((4930*$T$1),0)*1.05</f>
        <v>5176.5</v>
      </c>
      <c r="O288" s="56">
        <f>ROUND((4980*$T$1),0)*1.05</f>
        <v>5229</v>
      </c>
      <c r="P288" s="56">
        <f>ROUND((5129*$T$1),0)*1.05</f>
        <v>5385.45</v>
      </c>
      <c r="Q288" s="56">
        <f>ROUND((5377*$T$1),0)*1.05</f>
        <v>5645.85</v>
      </c>
    </row>
    <row r="289" spans="1:17" ht="19.5" customHeight="1" x14ac:dyDescent="0.3">
      <c r="A289" s="42"/>
      <c r="B289" s="43" t="s">
        <v>257</v>
      </c>
      <c r="C289" s="44" t="s">
        <v>45</v>
      </c>
      <c r="D289" s="47">
        <v>1.3</v>
      </c>
      <c r="E289" s="46" t="s">
        <v>47</v>
      </c>
      <c r="F289" s="47">
        <v>1.65</v>
      </c>
      <c r="G289" s="46" t="s">
        <v>48</v>
      </c>
      <c r="H289" s="90">
        <v>0.93</v>
      </c>
      <c r="I289" s="48">
        <v>10.8</v>
      </c>
      <c r="J289" s="49">
        <f>ROUND((4118*$T$1),0)*1.05</f>
        <v>4323.9000000000005</v>
      </c>
      <c r="K289" s="56">
        <f>ROUND((4576*$T$1),0)*1.05</f>
        <v>4804.8</v>
      </c>
      <c r="L289" s="56">
        <f>ROUND((4645*$T$1),0)*1.05</f>
        <v>4877.25</v>
      </c>
      <c r="M289" s="56">
        <f>ROUND((4727*$T$1),0)*1.05</f>
        <v>4963.3500000000004</v>
      </c>
      <c r="N289" s="56">
        <f>ROUND((4807*$T$1),0)*1.05</f>
        <v>5047.3500000000004</v>
      </c>
      <c r="O289" s="56">
        <f>ROUND((4855*$T$1),0)*1.05</f>
        <v>5097.75</v>
      </c>
      <c r="P289" s="56">
        <f>ROUND((5001*$T$1),0)*1.05</f>
        <v>5251.05</v>
      </c>
      <c r="Q289" s="56">
        <f>ROUND((5243*$T$1),0)*1.05</f>
        <v>5505.1500000000005</v>
      </c>
    </row>
    <row r="290" spans="1:17" ht="19.5" customHeight="1" x14ac:dyDescent="0.3">
      <c r="A290" s="42"/>
      <c r="B290" s="43" t="s">
        <v>258</v>
      </c>
      <c r="C290" s="44" t="s">
        <v>45</v>
      </c>
      <c r="D290" s="47">
        <v>1.2</v>
      </c>
      <c r="E290" s="46" t="s">
        <v>47</v>
      </c>
      <c r="F290" s="47">
        <v>1.65</v>
      </c>
      <c r="G290" s="46" t="s">
        <v>48</v>
      </c>
      <c r="H290" s="90">
        <v>0.93</v>
      </c>
      <c r="I290" s="48">
        <v>10.8</v>
      </c>
      <c r="J290" s="49">
        <f>ROUND((4016*$T$1),0)*1.05</f>
        <v>4216.8</v>
      </c>
      <c r="K290" s="56">
        <f>ROUND((4462*$T$1),0)*1.05</f>
        <v>4685.1000000000004</v>
      </c>
      <c r="L290" s="56">
        <f>ROUND((4529*$T$1),0)*1.05</f>
        <v>4755.45</v>
      </c>
      <c r="M290" s="56">
        <f>ROUND((4608*$T$1),0)*1.05</f>
        <v>4838.4000000000005</v>
      </c>
      <c r="N290" s="56">
        <f>ROUND((4686*$T$1),0)*1.05</f>
        <v>4920.3</v>
      </c>
      <c r="O290" s="56">
        <f>ROUND((4733*$T$1),0)*1.05</f>
        <v>4969.6500000000005</v>
      </c>
      <c r="P290" s="56">
        <f>ROUND((4876*$T$1),0)*1.05</f>
        <v>5119.8</v>
      </c>
      <c r="Q290" s="56">
        <f>ROUND((5112*$T$1),0)*1.05</f>
        <v>5367.6</v>
      </c>
    </row>
    <row r="291" spans="1:17" ht="19.5" customHeight="1" x14ac:dyDescent="0.3">
      <c r="A291" s="42"/>
      <c r="B291" s="43"/>
      <c r="C291" s="44"/>
      <c r="D291" s="47"/>
      <c r="E291" s="46"/>
      <c r="F291" s="47"/>
      <c r="G291" s="46"/>
      <c r="H291" s="47"/>
      <c r="I291" s="48"/>
      <c r="J291" s="49"/>
      <c r="K291" s="49"/>
      <c r="L291" s="49"/>
      <c r="M291" s="49"/>
      <c r="N291" s="49"/>
      <c r="O291" s="49"/>
      <c r="P291" s="49"/>
      <c r="Q291" s="49"/>
    </row>
    <row r="292" spans="1:17" ht="19.5" customHeight="1" x14ac:dyDescent="0.3">
      <c r="A292" s="42"/>
      <c r="B292" s="43" t="s">
        <v>259</v>
      </c>
      <c r="C292" s="44" t="s">
        <v>45</v>
      </c>
      <c r="D292" s="47">
        <v>1.8</v>
      </c>
      <c r="E292" s="46" t="s">
        <v>47</v>
      </c>
      <c r="F292" s="47">
        <v>1.25</v>
      </c>
      <c r="G292" s="46" t="s">
        <v>48</v>
      </c>
      <c r="H292" s="90">
        <v>0.93</v>
      </c>
      <c r="I292" s="48">
        <v>10.199999999999999</v>
      </c>
      <c r="J292" s="49">
        <f>ROUND((3886*$T$1),0)*1.05</f>
        <v>4080.3</v>
      </c>
      <c r="K292" s="49">
        <f>ROUND((4318*$T$1),0)*1.05</f>
        <v>4533.9000000000005</v>
      </c>
      <c r="L292" s="49">
        <f>ROUND((4384*$T$1),0)*1.05</f>
        <v>4603.2</v>
      </c>
      <c r="M292" s="49">
        <f>ROUND((4460*$T$1),0)*1.05</f>
        <v>4683</v>
      </c>
      <c r="N292" s="49">
        <f>ROUND((4536*$T$1),0)*1.05</f>
        <v>4762.8</v>
      </c>
      <c r="O292" s="49">
        <f>ROUND((4582*$T$1),0)*1.05</f>
        <v>4811.1000000000004</v>
      </c>
      <c r="P292" s="49">
        <f>ROUND((4718*$T$1),0)*1.05</f>
        <v>4953.9000000000005</v>
      </c>
      <c r="Q292" s="49">
        <f>ROUND((4947*$T$1),0)*1.05</f>
        <v>5194.3500000000004</v>
      </c>
    </row>
    <row r="293" spans="1:17" ht="19.5" customHeight="1" x14ac:dyDescent="0.3">
      <c r="A293" s="42"/>
      <c r="B293" s="43" t="s">
        <v>260</v>
      </c>
      <c r="C293" s="44" t="s">
        <v>45</v>
      </c>
      <c r="D293" s="47">
        <v>1.7</v>
      </c>
      <c r="E293" s="46" t="s">
        <v>47</v>
      </c>
      <c r="F293" s="47">
        <v>1.25</v>
      </c>
      <c r="G293" s="46" t="s">
        <v>48</v>
      </c>
      <c r="H293" s="90">
        <v>0.93</v>
      </c>
      <c r="I293" s="48">
        <v>10</v>
      </c>
      <c r="J293" s="49">
        <f>ROUND((3789*$T$1),0)*1.05</f>
        <v>3978.4500000000003</v>
      </c>
      <c r="K293" s="49">
        <f>ROUND((4210*$T$1),0)*1.05</f>
        <v>4420.5</v>
      </c>
      <c r="L293" s="49">
        <f>ROUND((4273*$T$1),0)*1.05</f>
        <v>4486.6500000000005</v>
      </c>
      <c r="M293" s="49">
        <f>ROUND((4348*$T$1),0)*1.05</f>
        <v>4565.4000000000005</v>
      </c>
      <c r="N293" s="49">
        <f>ROUND((4422*$T$1),0)*1.05</f>
        <v>4643.1000000000004</v>
      </c>
      <c r="O293" s="49">
        <f>ROUND((4467*$T$1),0)*1.05</f>
        <v>4690.3500000000004</v>
      </c>
      <c r="P293" s="49">
        <f>ROUND((4601*$T$1),0)*1.05</f>
        <v>4831.05</v>
      </c>
      <c r="Q293" s="49">
        <f>ROUND((4823*$T$1),0)*1.05</f>
        <v>5064.1500000000005</v>
      </c>
    </row>
    <row r="294" spans="1:17" ht="19.5" customHeight="1" x14ac:dyDescent="0.3">
      <c r="A294" s="42"/>
      <c r="B294" s="43" t="s">
        <v>261</v>
      </c>
      <c r="C294" s="44" t="s">
        <v>45</v>
      </c>
      <c r="D294" s="47">
        <v>1.6</v>
      </c>
      <c r="E294" s="46" t="s">
        <v>47</v>
      </c>
      <c r="F294" s="47">
        <v>1.25</v>
      </c>
      <c r="G294" s="46" t="s">
        <v>48</v>
      </c>
      <c r="H294" s="90">
        <v>0.93</v>
      </c>
      <c r="I294" s="48">
        <v>10</v>
      </c>
      <c r="J294" s="49">
        <f>ROUND((3694*$T$1),0)*1.05</f>
        <v>3878.7000000000003</v>
      </c>
      <c r="K294" s="49">
        <f>ROUND((4104*$T$1),0)*1.05</f>
        <v>4309.2</v>
      </c>
      <c r="L294" s="49">
        <f>ROUND((4166*$T$1),0)*1.05</f>
        <v>4374.3</v>
      </c>
      <c r="M294" s="49">
        <f>ROUND((4239*$T$1),0)*1.05</f>
        <v>4450.95</v>
      </c>
      <c r="N294" s="49">
        <f>ROUND((4311*$T$1),0)*1.05</f>
        <v>4526.55</v>
      </c>
      <c r="O294" s="49">
        <f>ROUND((4355*$T$1),0)*1.05</f>
        <v>4572.75</v>
      </c>
      <c r="P294" s="49">
        <f>ROUND((4486*$T$1),0)*1.05</f>
        <v>4710.3</v>
      </c>
      <c r="Q294" s="49">
        <f>ROUND((4704*$T$1),0)*1.05</f>
        <v>4939.2</v>
      </c>
    </row>
    <row r="295" spans="1:17" ht="19.5" customHeight="1" x14ac:dyDescent="0.3">
      <c r="A295" s="42"/>
      <c r="B295" s="43"/>
      <c r="C295" s="44"/>
      <c r="D295" s="45"/>
      <c r="E295" s="46"/>
      <c r="F295" s="47"/>
      <c r="G295" s="46"/>
      <c r="H295" s="47"/>
      <c r="I295" s="48"/>
      <c r="J295" s="49"/>
      <c r="K295" s="49"/>
      <c r="L295" s="49"/>
      <c r="M295" s="49"/>
      <c r="N295" s="49"/>
      <c r="O295" s="49"/>
      <c r="P295" s="49"/>
      <c r="Q295" s="49"/>
    </row>
    <row r="296" spans="1:17" ht="19.5" customHeight="1" x14ac:dyDescent="0.3">
      <c r="A296" s="42"/>
      <c r="B296" s="43" t="s">
        <v>226</v>
      </c>
      <c r="C296" s="44" t="s">
        <v>45</v>
      </c>
      <c r="D296" s="47">
        <v>1.27</v>
      </c>
      <c r="E296" s="46" t="s">
        <v>47</v>
      </c>
      <c r="F296" s="47">
        <v>1.27</v>
      </c>
      <c r="G296" s="46" t="s">
        <v>48</v>
      </c>
      <c r="H296" s="90">
        <v>0.93</v>
      </c>
      <c r="I296" s="48">
        <v>8.1999999999999993</v>
      </c>
      <c r="J296" s="49">
        <f>ROUND((3480*$T$1),0)*1.05</f>
        <v>3654</v>
      </c>
      <c r="K296" s="49">
        <f>ROUND((3866*$T$1),0)*1.05</f>
        <v>4059.3</v>
      </c>
      <c r="L296" s="49">
        <f>ROUND((3927*$T$1),0)*1.05</f>
        <v>4123.3500000000004</v>
      </c>
      <c r="M296" s="49">
        <f>ROUND((3999*$T$1),0)*1.05</f>
        <v>4198.95</v>
      </c>
      <c r="N296" s="49">
        <f>ROUND((4069*$T$1),0)*1.05</f>
        <v>4272.45</v>
      </c>
      <c r="O296" s="49">
        <f>ROUND((4111*$T$1),0)*1.05</f>
        <v>4316.55</v>
      </c>
      <c r="P296" s="49">
        <f>ROUND((4239*$T$1),0)*1.05</f>
        <v>4450.95</v>
      </c>
      <c r="Q296" s="49">
        <f>ROUND((4452*$T$1),0)*1.05</f>
        <v>4674.6000000000004</v>
      </c>
    </row>
    <row r="297" spans="1:17" ht="19.5" customHeight="1" x14ac:dyDescent="0.3">
      <c r="A297" s="42"/>
      <c r="B297" s="43"/>
      <c r="C297" s="44"/>
      <c r="D297" s="45"/>
      <c r="E297" s="46"/>
      <c r="F297" s="47"/>
      <c r="G297" s="46"/>
      <c r="H297" s="47"/>
      <c r="I297" s="48"/>
      <c r="J297" s="49"/>
      <c r="K297" s="49"/>
      <c r="L297" s="49"/>
      <c r="M297" s="49"/>
      <c r="N297" s="49"/>
      <c r="O297" s="49"/>
      <c r="P297" s="49"/>
      <c r="Q297" s="49"/>
    </row>
    <row r="298" spans="1:17" ht="19.5" customHeight="1" x14ac:dyDescent="0.35">
      <c r="A298" s="42"/>
      <c r="B298" s="83" t="s">
        <v>123</v>
      </c>
      <c r="C298" s="44"/>
      <c r="D298" s="45"/>
      <c r="E298" s="46"/>
      <c r="F298" s="47"/>
      <c r="G298" s="46"/>
      <c r="H298" s="47"/>
      <c r="I298" s="102"/>
      <c r="J298" s="87"/>
      <c r="K298" s="87"/>
      <c r="L298" s="87"/>
      <c r="M298" s="87"/>
      <c r="N298" s="87"/>
      <c r="O298" s="87"/>
      <c r="P298" s="87"/>
      <c r="Q298" s="87"/>
    </row>
    <row r="299" spans="1:17" ht="19.5" customHeight="1" x14ac:dyDescent="0.3">
      <c r="A299" s="42"/>
      <c r="B299" s="43"/>
      <c r="C299" s="44"/>
      <c r="D299" s="45"/>
      <c r="E299" s="46"/>
      <c r="F299" s="47"/>
      <c r="G299" s="46"/>
      <c r="H299" s="47"/>
      <c r="I299" s="102"/>
      <c r="J299" s="87"/>
      <c r="K299" s="87"/>
      <c r="L299" s="87"/>
      <c r="M299" s="87"/>
      <c r="N299" s="87"/>
      <c r="O299" s="87"/>
      <c r="P299" s="87"/>
      <c r="Q299" s="87"/>
    </row>
    <row r="300" spans="1:17" ht="19.5" customHeight="1" x14ac:dyDescent="0.3">
      <c r="A300" s="42"/>
      <c r="B300" s="59" t="s">
        <v>262</v>
      </c>
      <c r="C300" s="60"/>
      <c r="D300" s="59"/>
      <c r="E300" s="59"/>
      <c r="F300" s="59"/>
      <c r="G300" s="59"/>
      <c r="H300" s="59"/>
      <c r="I300" s="61"/>
      <c r="J300" s="62"/>
      <c r="K300" s="62"/>
      <c r="L300" s="62"/>
      <c r="M300" s="62"/>
      <c r="N300" s="62"/>
      <c r="O300" s="62"/>
      <c r="P300" s="62"/>
      <c r="Q300" s="62"/>
    </row>
    <row r="301" spans="1:17" ht="15" customHeight="1" x14ac:dyDescent="0.3">
      <c r="A301" s="42"/>
      <c r="B301" s="63"/>
      <c r="C301" s="64"/>
      <c r="D301" s="65"/>
      <c r="E301" s="49"/>
      <c r="F301" s="66"/>
      <c r="G301" s="48"/>
      <c r="H301" s="66"/>
      <c r="I301" s="48"/>
      <c r="J301" s="49"/>
      <c r="K301" s="49"/>
      <c r="L301" s="49"/>
      <c r="M301" s="49"/>
      <c r="N301" s="49"/>
      <c r="O301" s="49"/>
      <c r="P301" s="49"/>
      <c r="Q301" s="49"/>
    </row>
    <row r="302" spans="1:17" ht="29.1" customHeight="1" x14ac:dyDescent="0.25">
      <c r="A302" s="189" t="s">
        <v>263</v>
      </c>
      <c r="B302" s="189"/>
      <c r="C302" s="187" t="s">
        <v>41</v>
      </c>
      <c r="D302" s="187"/>
      <c r="E302" s="187"/>
      <c r="F302" s="187"/>
      <c r="G302" s="187"/>
      <c r="H302" s="187"/>
      <c r="I302" s="78" t="s">
        <v>42</v>
      </c>
      <c r="J302" s="41" t="s">
        <v>43</v>
      </c>
      <c r="K302" s="41">
        <v>1000</v>
      </c>
      <c r="L302" s="41">
        <v>2000</v>
      </c>
      <c r="M302" s="41">
        <v>3000</v>
      </c>
      <c r="N302" s="41">
        <v>4000</v>
      </c>
      <c r="O302" s="41">
        <v>5000</v>
      </c>
      <c r="P302" s="41">
        <v>6000</v>
      </c>
      <c r="Q302" s="41">
        <v>7000</v>
      </c>
    </row>
    <row r="303" spans="1:17" ht="19.5" customHeight="1" x14ac:dyDescent="0.3">
      <c r="A303" s="42"/>
      <c r="B303" s="50" t="s">
        <v>264</v>
      </c>
      <c r="C303" s="51" t="s">
        <v>45</v>
      </c>
      <c r="D303" s="54">
        <v>1.5</v>
      </c>
      <c r="E303" s="53" t="s">
        <v>47</v>
      </c>
      <c r="F303" s="54">
        <v>1.22</v>
      </c>
      <c r="G303" s="53" t="s">
        <v>48</v>
      </c>
      <c r="H303" s="57">
        <v>0.94</v>
      </c>
      <c r="I303" s="55">
        <v>12</v>
      </c>
      <c r="J303" s="56">
        <f>ROUND((3368*$T$1),0)*1.05</f>
        <v>3536.4</v>
      </c>
      <c r="K303" s="56">
        <f>ROUND((3743*$T$1),0)*1.05</f>
        <v>3930.15</v>
      </c>
      <c r="L303" s="56">
        <f>ROUND((3811*$T$1),0)*1.05</f>
        <v>4001.55</v>
      </c>
      <c r="M303" s="56">
        <f>ROUND((3890*$T$1),0)*1.05</f>
        <v>4084.5</v>
      </c>
      <c r="N303" s="56">
        <f>ROUND((3970*$T$1),0)*1.05</f>
        <v>4168.5</v>
      </c>
      <c r="O303" s="56">
        <f>ROUND((4016*$T$1),0)*1.05</f>
        <v>4216.8</v>
      </c>
      <c r="P303" s="56">
        <f>ROUND((4158*$T$1),0)*1.05</f>
        <v>4365.9000000000005</v>
      </c>
      <c r="Q303" s="56">
        <f>ROUND((4395*$T$1),0)*1.05</f>
        <v>4614.75</v>
      </c>
    </row>
    <row r="304" spans="1:17" ht="19.5" customHeight="1" x14ac:dyDescent="0.3">
      <c r="A304" s="42"/>
      <c r="B304" s="50" t="s">
        <v>265</v>
      </c>
      <c r="C304" s="51" t="s">
        <v>45</v>
      </c>
      <c r="D304" s="54">
        <v>1.4</v>
      </c>
      <c r="E304" s="53" t="s">
        <v>47</v>
      </c>
      <c r="F304" s="54">
        <v>1.22</v>
      </c>
      <c r="G304" s="53" t="s">
        <v>48</v>
      </c>
      <c r="H304" s="57">
        <v>0.94</v>
      </c>
      <c r="I304" s="55">
        <v>11</v>
      </c>
      <c r="J304" s="56">
        <f>ROUND((3302*$T$1),0)*1.05</f>
        <v>3467.1000000000004</v>
      </c>
      <c r="K304" s="56">
        <f>ROUND((3669*$T$1),0)*1.05</f>
        <v>3852.4500000000003</v>
      </c>
      <c r="L304" s="56">
        <f>ROUND((3735*$T$1),0)*1.05</f>
        <v>3921.75</v>
      </c>
      <c r="M304" s="56">
        <f>ROUND((3812*$T$1),0)*1.05</f>
        <v>4002.6000000000004</v>
      </c>
      <c r="N304" s="56">
        <f>ROUND((3890*$T$1),0)*1.05</f>
        <v>4084.5</v>
      </c>
      <c r="O304" s="56">
        <f>ROUND((3935*$T$1),0)*1.05</f>
        <v>4131.75</v>
      </c>
      <c r="P304" s="56">
        <f>ROUND((4076*$T$1),0)*1.05</f>
        <v>4279.8</v>
      </c>
      <c r="Q304" s="56">
        <f>ROUND((4308*$T$1),0)*1.05</f>
        <v>4523.4000000000005</v>
      </c>
    </row>
    <row r="305" spans="1:17" ht="19.5" customHeight="1" x14ac:dyDescent="0.3">
      <c r="A305" s="42"/>
      <c r="B305" s="50" t="s">
        <v>266</v>
      </c>
      <c r="C305" s="51" t="s">
        <v>45</v>
      </c>
      <c r="D305" s="54">
        <v>1.3</v>
      </c>
      <c r="E305" s="53" t="s">
        <v>47</v>
      </c>
      <c r="F305" s="54">
        <v>1.22</v>
      </c>
      <c r="G305" s="53" t="s">
        <v>48</v>
      </c>
      <c r="H305" s="57">
        <v>0.94</v>
      </c>
      <c r="I305" s="55">
        <v>10</v>
      </c>
      <c r="J305" s="56">
        <f>ROUND((3235*$T$1),0)*1.05</f>
        <v>3396.75</v>
      </c>
      <c r="K305" s="56">
        <f>ROUND((3595*$T$1),0)*1.05</f>
        <v>3774.75</v>
      </c>
      <c r="L305" s="56">
        <f>ROUND((3660*$T$1),0)*1.05</f>
        <v>3843</v>
      </c>
      <c r="M305" s="56">
        <f>ROUND((3736*$T$1),0)*1.05</f>
        <v>3922.8</v>
      </c>
      <c r="N305" s="56">
        <f>ROUND((3812*$T$1),0)*1.05</f>
        <v>4002.6000000000004</v>
      </c>
      <c r="O305" s="56">
        <f>ROUND((3857*$T$1),0)*1.05</f>
        <v>4049.8500000000004</v>
      </c>
      <c r="P305" s="56">
        <f>ROUND((3994*$T$1),0)*1.05</f>
        <v>4193.7</v>
      </c>
      <c r="Q305" s="56">
        <f>ROUND((4222*$T$1),0)*1.05</f>
        <v>4433.1000000000004</v>
      </c>
    </row>
    <row r="306" spans="1:17" ht="19.5" customHeight="1" x14ac:dyDescent="0.3">
      <c r="A306" s="42"/>
      <c r="B306" s="50" t="s">
        <v>267</v>
      </c>
      <c r="C306" s="51" t="s">
        <v>45</v>
      </c>
      <c r="D306" s="54">
        <v>1.2</v>
      </c>
      <c r="E306" s="53" t="s">
        <v>47</v>
      </c>
      <c r="F306" s="54">
        <v>1.22</v>
      </c>
      <c r="G306" s="53" t="s">
        <v>48</v>
      </c>
      <c r="H306" s="57">
        <v>0.94</v>
      </c>
      <c r="I306" s="55">
        <v>10</v>
      </c>
      <c r="J306" s="56">
        <f>ROUND((3171*$T$1),0)*1.05</f>
        <v>3329.55</v>
      </c>
      <c r="K306" s="56">
        <f>ROUND((3522*$T$1),0)*1.05</f>
        <v>3698.1000000000004</v>
      </c>
      <c r="L306" s="56">
        <f>ROUND((3587*$T$1),0)*1.05</f>
        <v>3766.3500000000004</v>
      </c>
      <c r="M306" s="56">
        <f>ROUND((3662*$T$1),0)*1.05</f>
        <v>3845.1000000000004</v>
      </c>
      <c r="N306" s="56">
        <f>ROUND((3736*$T$1),0)*1.05</f>
        <v>3922.8</v>
      </c>
      <c r="O306" s="56">
        <f>ROUND((3780*$T$1),0)*1.05</f>
        <v>3969</v>
      </c>
      <c r="P306" s="56">
        <f>ROUND((3915*$T$1),0)*1.05</f>
        <v>4110.75</v>
      </c>
      <c r="Q306" s="56">
        <f>ROUND((4138*$T$1),0)*1.05</f>
        <v>4344.9000000000005</v>
      </c>
    </row>
    <row r="307" spans="1:17" ht="19.5" customHeight="1" x14ac:dyDescent="0.3">
      <c r="A307" s="42"/>
      <c r="B307" s="51"/>
      <c r="C307" s="51"/>
      <c r="D307" s="54"/>
      <c r="E307" s="53"/>
      <c r="F307" s="54"/>
      <c r="G307" s="53"/>
      <c r="H307" s="90"/>
      <c r="I307" s="55"/>
      <c r="J307" s="56"/>
      <c r="K307" s="56"/>
      <c r="L307" s="56"/>
      <c r="M307" s="56"/>
      <c r="N307" s="56"/>
      <c r="O307" s="56"/>
      <c r="P307" s="56"/>
      <c r="Q307" s="56"/>
    </row>
    <row r="308" spans="1:17" ht="19.5" customHeight="1" x14ac:dyDescent="0.3">
      <c r="A308" s="42"/>
      <c r="B308" s="50" t="s">
        <v>268</v>
      </c>
      <c r="C308" s="51" t="s">
        <v>45</v>
      </c>
      <c r="D308" s="54">
        <v>1.2</v>
      </c>
      <c r="E308" s="53" t="s">
        <v>47</v>
      </c>
      <c r="F308" s="54">
        <v>1.22</v>
      </c>
      <c r="G308" s="53" t="s">
        <v>48</v>
      </c>
      <c r="H308" s="57">
        <v>0.94</v>
      </c>
      <c r="I308" s="55">
        <v>10</v>
      </c>
      <c r="J308" s="56">
        <f>ROUND((3041*$T$1),0)*1.05</f>
        <v>3193.05</v>
      </c>
      <c r="K308" s="56">
        <f>ROUND((3378*$T$1),0)*1.05</f>
        <v>3546.9</v>
      </c>
      <c r="L308" s="56">
        <f>ROUND((3435*$T$1),0)*1.05</f>
        <v>3606.75</v>
      </c>
      <c r="M308" s="56">
        <f>ROUND((3502*$T$1),0)*1.05</f>
        <v>3677.1000000000004</v>
      </c>
      <c r="N308" s="56">
        <f>ROUND((3568*$T$1),0)*1.05</f>
        <v>3746.4</v>
      </c>
      <c r="O308" s="56">
        <f>ROUND((3608*$T$1),0)*1.05</f>
        <v>3788.4</v>
      </c>
      <c r="P308" s="56">
        <f>ROUND((3727*$T$1),0)*1.05</f>
        <v>3913.3500000000004</v>
      </c>
      <c r="Q308" s="56">
        <f>ROUND((3926*$T$1),0)*1.05</f>
        <v>4122.3</v>
      </c>
    </row>
    <row r="309" spans="1:17" ht="19.5" customHeight="1" x14ac:dyDescent="0.3">
      <c r="A309" s="42"/>
      <c r="B309" s="50" t="s">
        <v>269</v>
      </c>
      <c r="C309" s="51" t="s">
        <v>45</v>
      </c>
      <c r="D309" s="54">
        <v>1.1000000000000001</v>
      </c>
      <c r="E309" s="53" t="s">
        <v>47</v>
      </c>
      <c r="F309" s="54">
        <v>1.22</v>
      </c>
      <c r="G309" s="53" t="s">
        <v>48</v>
      </c>
      <c r="H309" s="57">
        <v>0.94</v>
      </c>
      <c r="I309" s="55">
        <v>9</v>
      </c>
      <c r="J309" s="56">
        <f>ROUND((2980*$T$1),0)*1.05</f>
        <v>3129</v>
      </c>
      <c r="K309" s="56">
        <f>ROUND((3311*$T$1),0)*1.05</f>
        <v>3476.55</v>
      </c>
      <c r="L309" s="56">
        <f>ROUND((3367*$T$1),0)*1.05</f>
        <v>3535.3500000000004</v>
      </c>
      <c r="M309" s="56">
        <f>ROUND((3432*$T$1),0)*1.05</f>
        <v>3603.6000000000004</v>
      </c>
      <c r="N309" s="56">
        <f>ROUND((3497*$T$1),0)*1.05</f>
        <v>3671.8500000000004</v>
      </c>
      <c r="O309" s="56">
        <f>ROUND((3535*$T$1),0)*1.05</f>
        <v>3711.75</v>
      </c>
      <c r="P309" s="56">
        <f>ROUND((3654*$T$1),0)*1.05</f>
        <v>3836.7000000000003</v>
      </c>
      <c r="Q309" s="56">
        <f>ROUND((3848*$T$1),0)*1.05</f>
        <v>4040.4</v>
      </c>
    </row>
    <row r="310" spans="1:17" ht="19.5" customHeight="1" x14ac:dyDescent="0.3">
      <c r="A310" s="42"/>
      <c r="B310" s="50" t="s">
        <v>270</v>
      </c>
      <c r="C310" s="51" t="s">
        <v>45</v>
      </c>
      <c r="D310" s="54">
        <v>1</v>
      </c>
      <c r="E310" s="53" t="s">
        <v>47</v>
      </c>
      <c r="F310" s="54">
        <v>1.22</v>
      </c>
      <c r="G310" s="53" t="s">
        <v>48</v>
      </c>
      <c r="H310" s="57">
        <v>0.94</v>
      </c>
      <c r="I310" s="55">
        <v>8</v>
      </c>
      <c r="J310" s="56">
        <f>ROUND((2920*$T$1),0)*1.05</f>
        <v>3066</v>
      </c>
      <c r="K310" s="56">
        <f>ROUND((3244*$T$1),0)*1.05</f>
        <v>3406.2000000000003</v>
      </c>
      <c r="L310" s="56">
        <f>ROUND((3299*$T$1),0)*1.05</f>
        <v>3463.9500000000003</v>
      </c>
      <c r="M310" s="56">
        <f>ROUND((3363*$T$1),0)*1.05</f>
        <v>3531.15</v>
      </c>
      <c r="N310" s="56">
        <f>ROUND((3427*$T$1),0)*1.05</f>
        <v>3598.3500000000004</v>
      </c>
      <c r="O310" s="56">
        <f>ROUND((3465*$T$1),0)*1.05</f>
        <v>3638.25</v>
      </c>
      <c r="P310" s="56">
        <f>ROUND((3580*$T$1),0)*1.05</f>
        <v>3759</v>
      </c>
      <c r="Q310" s="56">
        <f>ROUND((3771*$T$1),0)*1.05</f>
        <v>3959.55</v>
      </c>
    </row>
    <row r="311" spans="1:17" ht="19.5" customHeight="1" x14ac:dyDescent="0.3">
      <c r="A311" s="42"/>
      <c r="B311" s="50" t="s">
        <v>271</v>
      </c>
      <c r="C311" s="51" t="s">
        <v>45</v>
      </c>
      <c r="D311" s="54">
        <v>0.9</v>
      </c>
      <c r="E311" s="53" t="s">
        <v>47</v>
      </c>
      <c r="F311" s="54">
        <v>1.22</v>
      </c>
      <c r="G311" s="53" t="s">
        <v>48</v>
      </c>
      <c r="H311" s="57">
        <v>0.94</v>
      </c>
      <c r="I311" s="55">
        <v>8</v>
      </c>
      <c r="J311" s="56">
        <f>ROUND((2861*$T$1),0)*1.05</f>
        <v>3004.05</v>
      </c>
      <c r="K311" s="56">
        <f>ROUND((3180*$T$1),0)*1.05</f>
        <v>3339</v>
      </c>
      <c r="L311" s="56">
        <f>ROUND((3234*$T$1),0)*1.05</f>
        <v>3395.7000000000003</v>
      </c>
      <c r="M311" s="56">
        <f>ROUND((3296*$T$1),0)*1.05</f>
        <v>3460.8</v>
      </c>
      <c r="N311" s="56">
        <f>ROUND((3358*$T$1),0)*1.05</f>
        <v>3525.9</v>
      </c>
      <c r="O311" s="56">
        <f>ROUND((3396*$T$1),0)*1.05</f>
        <v>3565.8</v>
      </c>
      <c r="P311" s="56">
        <f>ROUND((3509*$T$1),0)*1.05</f>
        <v>3684.4500000000003</v>
      </c>
      <c r="Q311" s="56">
        <f>ROUND((3695*$T$1),0)*1.05</f>
        <v>3879.75</v>
      </c>
    </row>
    <row r="312" spans="1:17" ht="19.5" customHeight="1" x14ac:dyDescent="0.3">
      <c r="A312" s="42"/>
      <c r="B312" s="51"/>
      <c r="C312" s="51"/>
      <c r="D312" s="54"/>
      <c r="E312" s="53"/>
      <c r="F312" s="54"/>
      <c r="G312" s="53"/>
      <c r="H312" s="90"/>
      <c r="I312" s="55"/>
      <c r="J312" s="56"/>
      <c r="K312" s="56"/>
      <c r="L312" s="56"/>
      <c r="M312" s="56"/>
      <c r="N312" s="56"/>
      <c r="O312" s="56"/>
      <c r="P312" s="56"/>
      <c r="Q312" s="56"/>
    </row>
    <row r="313" spans="1:17" ht="19.5" customHeight="1" x14ac:dyDescent="0.3">
      <c r="A313" s="42"/>
      <c r="B313" s="50" t="s">
        <v>272</v>
      </c>
      <c r="C313" s="51" t="s">
        <v>45</v>
      </c>
      <c r="D313" s="54">
        <v>1.5</v>
      </c>
      <c r="E313" s="53" t="s">
        <v>47</v>
      </c>
      <c r="F313" s="54">
        <v>1.62</v>
      </c>
      <c r="G313" s="53" t="s">
        <v>48</v>
      </c>
      <c r="H313" s="57">
        <v>0.94</v>
      </c>
      <c r="I313" s="55">
        <v>11</v>
      </c>
      <c r="J313" s="56">
        <f>ROUND((3954*$T$1),0)*1.05</f>
        <v>4151.7</v>
      </c>
      <c r="K313" s="56">
        <f>ROUND((4393*$T$1),0)*1.05</f>
        <v>4612.6500000000005</v>
      </c>
      <c r="L313" s="56">
        <f>ROUND((4468*$T$1),0)*1.05</f>
        <v>4691.4000000000005</v>
      </c>
      <c r="M313" s="56">
        <f>ROUND((4553*$T$1),0)*1.05</f>
        <v>4780.6500000000005</v>
      </c>
      <c r="N313" s="56">
        <f>ROUND((4638*$T$1),0)*1.05</f>
        <v>4869.9000000000005</v>
      </c>
      <c r="O313" s="56">
        <f>ROUND((4691*$T$1),0)*1.05</f>
        <v>4925.55</v>
      </c>
      <c r="P313" s="56">
        <f>ROUND((4845*$T$1),0)*1.05</f>
        <v>5087.25</v>
      </c>
      <c r="Q313" s="56">
        <f>ROUND((5103*$T$1),0)*1.05</f>
        <v>5358.1500000000005</v>
      </c>
    </row>
    <row r="314" spans="1:17" ht="19.5" customHeight="1" x14ac:dyDescent="0.3">
      <c r="A314" s="42"/>
      <c r="B314" s="50" t="s">
        <v>273</v>
      </c>
      <c r="C314" s="51" t="s">
        <v>45</v>
      </c>
      <c r="D314" s="54">
        <v>1.4</v>
      </c>
      <c r="E314" s="53" t="s">
        <v>47</v>
      </c>
      <c r="F314" s="54">
        <v>1.62</v>
      </c>
      <c r="G314" s="53" t="s">
        <v>48</v>
      </c>
      <c r="H314" s="57">
        <v>0.94</v>
      </c>
      <c r="I314" s="55">
        <v>11</v>
      </c>
      <c r="J314" s="56">
        <f>ROUND((3895*$T$1),0)*1.05</f>
        <v>4089.75</v>
      </c>
      <c r="K314" s="56">
        <f>ROUND((4327*$T$1),0)*1.05</f>
        <v>4543.3500000000004</v>
      </c>
      <c r="L314" s="56">
        <f>ROUND((4401*$T$1),0)*1.05</f>
        <v>4621.05</v>
      </c>
      <c r="M314" s="56">
        <f>ROUND((4485*$T$1),0)*1.05</f>
        <v>4709.25</v>
      </c>
      <c r="N314" s="56">
        <f>ROUND((4569*$T$1),0)*1.05</f>
        <v>4797.45</v>
      </c>
      <c r="O314" s="56">
        <f>ROUND((4621*$T$1),0)*1.05</f>
        <v>4852.05</v>
      </c>
      <c r="P314" s="56">
        <f>ROUND((4773*$T$1),0)*1.05</f>
        <v>5011.6500000000005</v>
      </c>
      <c r="Q314" s="56">
        <f>ROUND((5026*$T$1),0)*1.05</f>
        <v>5277.3</v>
      </c>
    </row>
    <row r="315" spans="1:17" ht="19.5" customHeight="1" x14ac:dyDescent="0.3">
      <c r="A315" s="42"/>
      <c r="B315" s="50" t="s">
        <v>274</v>
      </c>
      <c r="C315" s="51" t="s">
        <v>45</v>
      </c>
      <c r="D315" s="54">
        <v>1.3</v>
      </c>
      <c r="E315" s="53" t="s">
        <v>47</v>
      </c>
      <c r="F315" s="54">
        <v>1.62</v>
      </c>
      <c r="G315" s="53" t="s">
        <v>48</v>
      </c>
      <c r="H315" s="57">
        <v>0.94</v>
      </c>
      <c r="I315" s="55">
        <v>10</v>
      </c>
      <c r="J315" s="56">
        <f>ROUND((3810*$T$1),0)*1.05</f>
        <v>4000.5</v>
      </c>
      <c r="K315" s="56">
        <f>ROUND((4233*$T$1),0)*1.05</f>
        <v>4444.6500000000005</v>
      </c>
      <c r="L315" s="56">
        <f>ROUND((4298*$T$1),0)*1.05</f>
        <v>4512.9000000000005</v>
      </c>
      <c r="M315" s="56">
        <f>ROUND((4372*$T$1),0)*1.05</f>
        <v>4590.6000000000004</v>
      </c>
      <c r="N315" s="56">
        <f>ROUND((4447*$T$1),0)*1.05</f>
        <v>4669.3500000000004</v>
      </c>
      <c r="O315" s="56">
        <f>ROUND((4493*$T$1),0)*1.05</f>
        <v>4717.6500000000005</v>
      </c>
      <c r="P315" s="56">
        <f>ROUND((4626*$T$1),0)*1.05</f>
        <v>4857.3</v>
      </c>
      <c r="Q315" s="56">
        <f>ROUND((4851*$T$1),0)*1.05</f>
        <v>5093.55</v>
      </c>
    </row>
    <row r="316" spans="1:17" ht="19.5" customHeight="1" x14ac:dyDescent="0.3">
      <c r="A316" s="42"/>
      <c r="B316" s="51"/>
      <c r="C316" s="51"/>
      <c r="D316" s="54"/>
      <c r="E316" s="53"/>
      <c r="F316" s="54"/>
      <c r="G316" s="53"/>
      <c r="H316" s="90"/>
      <c r="I316" s="55"/>
      <c r="J316" s="56"/>
      <c r="K316" s="56"/>
      <c r="L316" s="56"/>
      <c r="M316" s="56"/>
      <c r="N316" s="56"/>
      <c r="O316" s="56"/>
      <c r="P316" s="56"/>
      <c r="Q316" s="56"/>
    </row>
    <row r="317" spans="1:17" ht="19.5" customHeight="1" x14ac:dyDescent="0.3">
      <c r="A317" s="42"/>
      <c r="B317" s="50" t="s">
        <v>184</v>
      </c>
      <c r="C317" s="51"/>
      <c r="D317" s="54"/>
      <c r="E317" s="53"/>
      <c r="F317" s="54"/>
      <c r="G317" s="53"/>
      <c r="H317" s="90"/>
      <c r="I317" s="55"/>
      <c r="J317" s="56"/>
      <c r="K317" s="56">
        <f>ROUND((1734*$T$1),0)*1.05</f>
        <v>1820.7</v>
      </c>
      <c r="L317" s="56"/>
      <c r="M317" s="56"/>
      <c r="N317" s="56"/>
      <c r="O317" s="56"/>
      <c r="P317" s="56"/>
      <c r="Q317" s="56"/>
    </row>
    <row r="318" spans="1:17" ht="19.5" customHeight="1" x14ac:dyDescent="0.3">
      <c r="A318" s="42"/>
      <c r="B318" s="50" t="s">
        <v>185</v>
      </c>
      <c r="C318" s="51"/>
      <c r="D318" s="54"/>
      <c r="E318" s="53"/>
      <c r="F318" s="54"/>
      <c r="G318" s="53"/>
      <c r="H318" s="90"/>
      <c r="I318" s="55"/>
      <c r="J318" s="56"/>
      <c r="K318" s="56">
        <f>ROUND((2765*$T$1),0)*1.05</f>
        <v>2903.25</v>
      </c>
      <c r="L318" s="56"/>
      <c r="M318" s="56"/>
      <c r="N318" s="56"/>
      <c r="O318" s="56"/>
      <c r="P318" s="56"/>
      <c r="Q318" s="56"/>
    </row>
    <row r="319" spans="1:17" ht="19.5" customHeight="1" x14ac:dyDescent="0.3">
      <c r="A319" s="42"/>
      <c r="B319" s="50" t="s">
        <v>186</v>
      </c>
      <c r="C319" s="51"/>
      <c r="D319" s="54"/>
      <c r="E319" s="53"/>
      <c r="F319" s="54"/>
      <c r="G319" s="53"/>
      <c r="H319" s="90"/>
      <c r="I319" s="55"/>
      <c r="J319" s="56"/>
      <c r="K319" s="56">
        <f>ROUND((3795*$T$1),0)*1.05</f>
        <v>3984.75</v>
      </c>
      <c r="L319" s="56"/>
      <c r="M319" s="56"/>
      <c r="N319" s="56"/>
      <c r="O319" s="56"/>
      <c r="P319" s="56"/>
      <c r="Q319" s="56"/>
    </row>
    <row r="320" spans="1:17" ht="19.5" customHeight="1" x14ac:dyDescent="0.3">
      <c r="A320" s="42"/>
      <c r="B320" s="44"/>
      <c r="C320" s="44"/>
      <c r="D320" s="47"/>
      <c r="E320" s="46"/>
      <c r="F320" s="47"/>
      <c r="G320" s="46"/>
      <c r="H320" s="57"/>
      <c r="I320" s="48"/>
      <c r="J320" s="49"/>
      <c r="K320" s="49"/>
      <c r="L320" s="49"/>
      <c r="M320" s="49"/>
      <c r="N320" s="49"/>
      <c r="O320" s="49"/>
      <c r="P320" s="49"/>
      <c r="Q320" s="49"/>
    </row>
    <row r="321" spans="1:17" ht="19.5" customHeight="1" x14ac:dyDescent="0.3">
      <c r="A321" s="42"/>
      <c r="B321" s="51" t="s">
        <v>187</v>
      </c>
      <c r="C321" s="44"/>
      <c r="D321" s="47"/>
      <c r="E321" s="46"/>
      <c r="F321" s="47"/>
      <c r="G321" s="46"/>
      <c r="H321" s="57"/>
      <c r="I321" s="48"/>
      <c r="J321" s="49"/>
      <c r="K321" s="49">
        <f>ROUND((220*$T$1),0)*1.05</f>
        <v>231</v>
      </c>
      <c r="L321" s="49"/>
      <c r="M321" s="49"/>
      <c r="N321" s="49"/>
      <c r="O321" s="49"/>
      <c r="P321" s="49"/>
      <c r="Q321" s="49"/>
    </row>
    <row r="322" spans="1:17" ht="19.5" customHeight="1" x14ac:dyDescent="0.3">
      <c r="A322" s="42"/>
      <c r="B322" s="51" t="s">
        <v>188</v>
      </c>
      <c r="C322" s="44"/>
      <c r="D322" s="47"/>
      <c r="E322" s="46"/>
      <c r="F322" s="47"/>
      <c r="G322" s="46"/>
      <c r="H322" s="57"/>
      <c r="I322" s="48"/>
      <c r="J322" s="49"/>
      <c r="K322" s="49">
        <f>ROUND((132*$T$1),0)*1.05</f>
        <v>138.6</v>
      </c>
      <c r="L322" s="49"/>
      <c r="M322" s="49"/>
      <c r="N322" s="49"/>
      <c r="O322" s="49"/>
      <c r="P322" s="49"/>
      <c r="Q322" s="49"/>
    </row>
    <row r="323" spans="1:17" ht="19.5" customHeight="1" x14ac:dyDescent="0.3">
      <c r="A323" s="42"/>
      <c r="B323" s="51" t="s">
        <v>189</v>
      </c>
      <c r="C323" s="44"/>
      <c r="D323" s="47"/>
      <c r="E323" s="46"/>
      <c r="F323" s="47"/>
      <c r="G323" s="46"/>
      <c r="H323" s="57"/>
      <c r="I323" s="48"/>
      <c r="J323" s="49"/>
      <c r="K323" s="49">
        <f>ROUND((132*$T$1),0)*1.05</f>
        <v>138.6</v>
      </c>
      <c r="L323" s="49"/>
      <c r="M323" s="49"/>
      <c r="N323" s="49"/>
      <c r="O323" s="49"/>
      <c r="P323" s="49"/>
      <c r="Q323" s="49"/>
    </row>
    <row r="324" spans="1:17" ht="19.5" customHeight="1" x14ac:dyDescent="0.3">
      <c r="A324" s="42"/>
      <c r="B324" s="44"/>
      <c r="C324" s="44"/>
      <c r="D324" s="47"/>
      <c r="E324" s="46"/>
      <c r="F324" s="47"/>
      <c r="G324" s="46"/>
      <c r="H324" s="57"/>
      <c r="I324" s="48"/>
      <c r="J324" s="49"/>
      <c r="K324" s="49"/>
      <c r="L324" s="49"/>
      <c r="M324" s="49"/>
      <c r="N324" s="49"/>
      <c r="O324" s="49"/>
      <c r="P324" s="49"/>
      <c r="Q324" s="49"/>
    </row>
    <row r="325" spans="1:17" ht="19.5" customHeight="1" x14ac:dyDescent="0.35">
      <c r="A325" s="42"/>
      <c r="B325" s="92" t="s">
        <v>190</v>
      </c>
      <c r="C325" s="44"/>
      <c r="D325" s="47"/>
      <c r="E325" s="46"/>
      <c r="F325" s="47"/>
      <c r="G325" s="46"/>
      <c r="H325" s="57"/>
      <c r="I325" s="48"/>
      <c r="J325" s="49"/>
      <c r="K325" s="49"/>
      <c r="L325" s="49"/>
      <c r="M325" s="49"/>
      <c r="N325" s="49"/>
      <c r="O325" s="49"/>
      <c r="P325" s="49"/>
      <c r="Q325" s="49"/>
    </row>
    <row r="326" spans="1:17" ht="19.5" customHeight="1" x14ac:dyDescent="0.3">
      <c r="A326" s="42"/>
      <c r="B326" s="44"/>
      <c r="C326" s="44"/>
      <c r="D326" s="47"/>
      <c r="E326" s="46"/>
      <c r="F326" s="47"/>
      <c r="G326" s="46"/>
      <c r="H326" s="57"/>
      <c r="I326" s="48"/>
      <c r="J326" s="49"/>
      <c r="K326" s="49"/>
      <c r="L326" s="49"/>
      <c r="M326" s="49"/>
      <c r="N326" s="49"/>
      <c r="O326" s="49"/>
      <c r="P326" s="49"/>
      <c r="Q326" s="49"/>
    </row>
    <row r="327" spans="1:17" ht="19.5" customHeight="1" x14ac:dyDescent="0.3">
      <c r="A327" s="42"/>
      <c r="B327" s="43" t="s">
        <v>275</v>
      </c>
      <c r="C327" s="44" t="s">
        <v>45</v>
      </c>
      <c r="D327" s="47">
        <v>1.5</v>
      </c>
      <c r="E327" s="46" t="s">
        <v>47</v>
      </c>
      <c r="F327" s="54">
        <v>1.22</v>
      </c>
      <c r="G327" s="46" t="s">
        <v>48</v>
      </c>
      <c r="H327" s="57">
        <v>0.94</v>
      </c>
      <c r="I327" s="48">
        <v>12</v>
      </c>
      <c r="J327" s="56">
        <f>ROUND((3368*$T$1),0)*1.05</f>
        <v>3536.4</v>
      </c>
      <c r="K327" s="56">
        <f>ROUND((3743*$T$1),0)*1.05</f>
        <v>3930.15</v>
      </c>
      <c r="L327" s="56">
        <f>ROUND((3811*$T$1),0)*1.05</f>
        <v>4001.55</v>
      </c>
      <c r="M327" s="56">
        <f>ROUND((3890*$T$1),0)*1.05</f>
        <v>4084.5</v>
      </c>
      <c r="N327" s="56">
        <f>ROUND((3970*$T$1),0)*1.05</f>
        <v>4168.5</v>
      </c>
      <c r="O327" s="56">
        <f>ROUND((4016*$T$1),0)*1.05</f>
        <v>4216.8</v>
      </c>
      <c r="P327" s="56">
        <f>ROUND((4158*$T$1),0)*1.05</f>
        <v>4365.9000000000005</v>
      </c>
      <c r="Q327" s="56">
        <f>ROUND((4395*$T$1),0)*1.05</f>
        <v>4614.75</v>
      </c>
    </row>
    <row r="328" spans="1:17" ht="19.5" customHeight="1" x14ac:dyDescent="0.3">
      <c r="A328" s="42" t="s">
        <v>276</v>
      </c>
      <c r="B328" s="43" t="s">
        <v>277</v>
      </c>
      <c r="C328" s="44" t="s">
        <v>45</v>
      </c>
      <c r="D328" s="47">
        <v>1.4</v>
      </c>
      <c r="E328" s="46" t="s">
        <v>47</v>
      </c>
      <c r="F328" s="54">
        <v>1.22</v>
      </c>
      <c r="G328" s="46" t="s">
        <v>48</v>
      </c>
      <c r="H328" s="57">
        <v>0.94</v>
      </c>
      <c r="I328" s="48">
        <v>11</v>
      </c>
      <c r="J328" s="56">
        <f>ROUND((3302*$T$1),0)*1.05</f>
        <v>3467.1000000000004</v>
      </c>
      <c r="K328" s="56">
        <f>ROUND((3669*$T$1),0)*1.05</f>
        <v>3852.4500000000003</v>
      </c>
      <c r="L328" s="56">
        <f>ROUND((3735*$T$1),0)*1.05</f>
        <v>3921.75</v>
      </c>
      <c r="M328" s="56">
        <f>ROUND((3812*$T$1),0)*1.05</f>
        <v>4002.6000000000004</v>
      </c>
      <c r="N328" s="56">
        <f>ROUND((3890*$T$1),0)*1.05</f>
        <v>4084.5</v>
      </c>
      <c r="O328" s="56">
        <f>ROUND((3935*$T$1),0)*1.05</f>
        <v>4131.75</v>
      </c>
      <c r="P328" s="56">
        <f>ROUND((4076*$T$1),0)*1.05</f>
        <v>4279.8</v>
      </c>
      <c r="Q328" s="56">
        <f>ROUND((4308*$T$1),0)*1.05</f>
        <v>4523.4000000000005</v>
      </c>
    </row>
    <row r="329" spans="1:17" ht="19.5" customHeight="1" x14ac:dyDescent="0.3">
      <c r="A329" s="42"/>
      <c r="B329" s="43" t="s">
        <v>278</v>
      </c>
      <c r="C329" s="44" t="s">
        <v>45</v>
      </c>
      <c r="D329" s="47">
        <v>1.3</v>
      </c>
      <c r="E329" s="46" t="s">
        <v>47</v>
      </c>
      <c r="F329" s="54">
        <v>1.22</v>
      </c>
      <c r="G329" s="46" t="s">
        <v>48</v>
      </c>
      <c r="H329" s="57">
        <v>0.94</v>
      </c>
      <c r="I329" s="55">
        <v>10</v>
      </c>
      <c r="J329" s="56">
        <f>ROUND((3235*$T$1),0)*1.05</f>
        <v>3396.75</v>
      </c>
      <c r="K329" s="56">
        <f>ROUND((3595*$T$1),0)*1.05</f>
        <v>3774.75</v>
      </c>
      <c r="L329" s="56">
        <f>ROUND((3660*$T$1),0)*1.05</f>
        <v>3843</v>
      </c>
      <c r="M329" s="56">
        <f>ROUND((3736*$T$1),0)*1.05</f>
        <v>3922.8</v>
      </c>
      <c r="N329" s="56">
        <f>ROUND((3812*$T$1),0)*1.05</f>
        <v>4002.6000000000004</v>
      </c>
      <c r="O329" s="56">
        <f>ROUND((3857*$T$1),0)*1.05</f>
        <v>4049.8500000000004</v>
      </c>
      <c r="P329" s="56">
        <f>ROUND((3994*$T$1),0)*1.05</f>
        <v>4193.7</v>
      </c>
      <c r="Q329" s="56">
        <f>ROUND((4222*$T$1),0)*1.05</f>
        <v>4433.1000000000004</v>
      </c>
    </row>
    <row r="330" spans="1:17" ht="19.5" customHeight="1" x14ac:dyDescent="0.3">
      <c r="A330" s="42"/>
      <c r="B330" s="43" t="s">
        <v>279</v>
      </c>
      <c r="C330" s="44" t="s">
        <v>45</v>
      </c>
      <c r="D330" s="47">
        <v>1.2</v>
      </c>
      <c r="E330" s="46" t="s">
        <v>47</v>
      </c>
      <c r="F330" s="54">
        <v>1.22</v>
      </c>
      <c r="G330" s="46" t="s">
        <v>48</v>
      </c>
      <c r="H330" s="57">
        <v>0.94</v>
      </c>
      <c r="I330" s="48">
        <v>10</v>
      </c>
      <c r="J330" s="56">
        <f>ROUND((3171*$T$1),0)*1.05</f>
        <v>3329.55</v>
      </c>
      <c r="K330" s="56">
        <f>ROUND((3522*$T$1),0)*1.05</f>
        <v>3698.1000000000004</v>
      </c>
      <c r="L330" s="56">
        <f>ROUND((3587*$T$1),0)*1.05</f>
        <v>3766.3500000000004</v>
      </c>
      <c r="M330" s="56">
        <f>ROUND((3662*$T$1),0)*1.05</f>
        <v>3845.1000000000004</v>
      </c>
      <c r="N330" s="56">
        <f>ROUND((3736*$T$1),0)*1.05</f>
        <v>3922.8</v>
      </c>
      <c r="O330" s="56">
        <f>ROUND((3780*$T$1),0)*1.05</f>
        <v>3969</v>
      </c>
      <c r="P330" s="56">
        <f>ROUND((3915*$T$1),0)*1.05</f>
        <v>4110.75</v>
      </c>
      <c r="Q330" s="56">
        <f>ROUND((4138*$T$1),0)*1.05</f>
        <v>4344.9000000000005</v>
      </c>
    </row>
    <row r="331" spans="1:17" ht="19.5" customHeight="1" x14ac:dyDescent="0.3">
      <c r="A331" s="42"/>
      <c r="B331" s="94"/>
      <c r="C331" s="44"/>
      <c r="D331" s="47"/>
      <c r="E331" s="46"/>
      <c r="F331" s="47"/>
      <c r="G331" s="46"/>
      <c r="H331" s="57"/>
      <c r="I331" s="48"/>
      <c r="J331" s="56"/>
      <c r="K331" s="56"/>
      <c r="L331" s="56"/>
      <c r="M331" s="56"/>
      <c r="N331" s="56"/>
      <c r="O331" s="56"/>
      <c r="P331" s="56"/>
      <c r="Q331" s="56"/>
    </row>
    <row r="332" spans="1:17" ht="19.5" customHeight="1" x14ac:dyDescent="0.3">
      <c r="A332" s="42"/>
      <c r="B332" s="43" t="s">
        <v>280</v>
      </c>
      <c r="C332" s="44" t="s">
        <v>45</v>
      </c>
      <c r="D332" s="54">
        <v>1.2</v>
      </c>
      <c r="E332" s="46" t="s">
        <v>47</v>
      </c>
      <c r="F332" s="54">
        <v>1.22</v>
      </c>
      <c r="G332" s="46" t="s">
        <v>48</v>
      </c>
      <c r="H332" s="57">
        <v>0.94</v>
      </c>
      <c r="I332" s="48">
        <v>10</v>
      </c>
      <c r="J332" s="56">
        <f>ROUND((3041*$T$1),0)*1.05</f>
        <v>3193.05</v>
      </c>
      <c r="K332" s="56">
        <f>ROUND((3378*$T$1),0)*1.05</f>
        <v>3546.9</v>
      </c>
      <c r="L332" s="56">
        <f>ROUND((3435*$T$1),0)*1.05</f>
        <v>3606.75</v>
      </c>
      <c r="M332" s="56">
        <f>ROUND((3502*$T$1),0)*1.05</f>
        <v>3677.1000000000004</v>
      </c>
      <c r="N332" s="56">
        <f>ROUND((3568*$T$1),0)*1.05</f>
        <v>3746.4</v>
      </c>
      <c r="O332" s="56">
        <f>ROUND((3608*$T$1),0)*1.05</f>
        <v>3788.4</v>
      </c>
      <c r="P332" s="56">
        <f>ROUND((3727*$T$1),0)*1.05</f>
        <v>3913.3500000000004</v>
      </c>
      <c r="Q332" s="56">
        <f>ROUND((3926*$T$1),0)*1.05</f>
        <v>4122.3</v>
      </c>
    </row>
    <row r="333" spans="1:17" ht="19.5" customHeight="1" x14ac:dyDescent="0.3">
      <c r="A333" s="42"/>
      <c r="B333" s="43" t="s">
        <v>281</v>
      </c>
      <c r="C333" s="44" t="s">
        <v>45</v>
      </c>
      <c r="D333" s="54">
        <v>1.1000000000000001</v>
      </c>
      <c r="E333" s="46" t="s">
        <v>47</v>
      </c>
      <c r="F333" s="54">
        <v>1.22</v>
      </c>
      <c r="G333" s="46" t="s">
        <v>48</v>
      </c>
      <c r="H333" s="57">
        <v>0.94</v>
      </c>
      <c r="I333" s="48">
        <v>9</v>
      </c>
      <c r="J333" s="56">
        <f>ROUND((2980*$T$1),0)*1.05</f>
        <v>3129</v>
      </c>
      <c r="K333" s="56">
        <f>ROUND((3311*$T$1),0)*1.05</f>
        <v>3476.55</v>
      </c>
      <c r="L333" s="56">
        <f>ROUND((3367*$T$1),0)*1.05</f>
        <v>3535.3500000000004</v>
      </c>
      <c r="M333" s="56">
        <f>ROUND((3432*$T$1),0)*1.05</f>
        <v>3603.6000000000004</v>
      </c>
      <c r="N333" s="56">
        <f>ROUND((3497*$T$1),0)*1.05</f>
        <v>3671.8500000000004</v>
      </c>
      <c r="O333" s="56">
        <f>ROUND((3535*$T$1),0)*1.05</f>
        <v>3711.75</v>
      </c>
      <c r="P333" s="56">
        <f>ROUND((3654*$T$1),0)*1.05</f>
        <v>3836.7000000000003</v>
      </c>
      <c r="Q333" s="56">
        <f>ROUND((3848*$T$1),0)*1.05</f>
        <v>4040.4</v>
      </c>
    </row>
    <row r="334" spans="1:17" ht="19.5" customHeight="1" x14ac:dyDescent="0.3">
      <c r="A334" s="42"/>
      <c r="B334" s="43" t="s">
        <v>282</v>
      </c>
      <c r="C334" s="44" t="s">
        <v>45</v>
      </c>
      <c r="D334" s="54">
        <v>1</v>
      </c>
      <c r="E334" s="46" t="s">
        <v>47</v>
      </c>
      <c r="F334" s="54">
        <v>1.22</v>
      </c>
      <c r="G334" s="46" t="s">
        <v>48</v>
      </c>
      <c r="H334" s="57">
        <v>0.94</v>
      </c>
      <c r="I334" s="55">
        <v>8</v>
      </c>
      <c r="J334" s="56">
        <f>ROUND((2920*$T$1),0)*1.05</f>
        <v>3066</v>
      </c>
      <c r="K334" s="56">
        <f>ROUND((3244*$T$1),0)*1.05</f>
        <v>3406.2000000000003</v>
      </c>
      <c r="L334" s="56">
        <f>ROUND((3299*$T$1),0)*1.05</f>
        <v>3463.9500000000003</v>
      </c>
      <c r="M334" s="56">
        <f>ROUND((3363*$T$1),0)*1.05</f>
        <v>3531.15</v>
      </c>
      <c r="N334" s="56">
        <f>ROUND((3427*$T$1),0)*1.05</f>
        <v>3598.3500000000004</v>
      </c>
      <c r="O334" s="56">
        <f>ROUND((3465*$T$1),0)*1.05</f>
        <v>3638.25</v>
      </c>
      <c r="P334" s="56">
        <f>ROUND((3580*$T$1),0)*1.05</f>
        <v>3759</v>
      </c>
      <c r="Q334" s="56">
        <f>ROUND((3771*$T$1),0)*1.05</f>
        <v>3959.55</v>
      </c>
    </row>
    <row r="335" spans="1:17" ht="19.5" customHeight="1" x14ac:dyDescent="0.3">
      <c r="A335" s="42"/>
      <c r="B335" s="43" t="s">
        <v>283</v>
      </c>
      <c r="C335" s="44" t="s">
        <v>45</v>
      </c>
      <c r="D335" s="54">
        <v>0.9</v>
      </c>
      <c r="E335" s="46" t="s">
        <v>47</v>
      </c>
      <c r="F335" s="54">
        <v>1.22</v>
      </c>
      <c r="G335" s="46" t="s">
        <v>48</v>
      </c>
      <c r="H335" s="57">
        <v>0.94</v>
      </c>
      <c r="I335" s="48">
        <v>8</v>
      </c>
      <c r="J335" s="56">
        <f>ROUND((2861*$T$1),0)*1.05</f>
        <v>3004.05</v>
      </c>
      <c r="K335" s="56">
        <f>ROUND((3180*$T$1),0)*1.05</f>
        <v>3339</v>
      </c>
      <c r="L335" s="56">
        <f>ROUND((3234*$T$1),0)*1.05</f>
        <v>3395.7000000000003</v>
      </c>
      <c r="M335" s="56">
        <f>ROUND((3296*$T$1),0)*1.05</f>
        <v>3460.8</v>
      </c>
      <c r="N335" s="56">
        <f>ROUND((3358*$T$1),0)*1.05</f>
        <v>3525.9</v>
      </c>
      <c r="O335" s="56">
        <f>ROUND((3396*$T$1),0)*1.05</f>
        <v>3565.8</v>
      </c>
      <c r="P335" s="56">
        <f>ROUND((3509*$T$1),0)*1.05</f>
        <v>3684.4500000000003</v>
      </c>
      <c r="Q335" s="56">
        <f>ROUND((3695*$T$1),0)*1.05</f>
        <v>3879.75</v>
      </c>
    </row>
    <row r="336" spans="1:17" ht="19.5" customHeight="1" x14ac:dyDescent="0.3">
      <c r="A336" s="42"/>
      <c r="B336" s="44"/>
      <c r="C336" s="44"/>
      <c r="D336" s="47"/>
      <c r="E336" s="46"/>
      <c r="F336" s="47"/>
      <c r="G336" s="46"/>
      <c r="H336" s="57"/>
      <c r="I336" s="48"/>
      <c r="J336" s="56"/>
      <c r="K336" s="56"/>
      <c r="L336" s="56"/>
      <c r="M336" s="56"/>
      <c r="N336" s="56"/>
      <c r="O336" s="56"/>
      <c r="P336" s="56"/>
      <c r="Q336" s="56"/>
    </row>
    <row r="337" spans="1:17" ht="19.5" customHeight="1" x14ac:dyDescent="0.3">
      <c r="A337" s="42"/>
      <c r="B337" s="43" t="s">
        <v>284</v>
      </c>
      <c r="C337" s="44" t="s">
        <v>45</v>
      </c>
      <c r="D337" s="47">
        <v>1.5</v>
      </c>
      <c r="E337" s="46" t="s">
        <v>47</v>
      </c>
      <c r="F337" s="54">
        <v>1.62</v>
      </c>
      <c r="G337" s="46" t="s">
        <v>48</v>
      </c>
      <c r="H337" s="57">
        <v>0.94</v>
      </c>
      <c r="I337" s="48">
        <v>11</v>
      </c>
      <c r="J337" s="56">
        <f>ROUND((3954*$T$1),0)*1.05</f>
        <v>4151.7</v>
      </c>
      <c r="K337" s="56">
        <f>ROUND((4393*$T$1),0)*1.05</f>
        <v>4612.6500000000005</v>
      </c>
      <c r="L337" s="56">
        <f>ROUND((4468*$T$1),0)*1.05</f>
        <v>4691.4000000000005</v>
      </c>
      <c r="M337" s="56">
        <f>ROUND((4553*$T$1),0)*1.05</f>
        <v>4780.6500000000005</v>
      </c>
      <c r="N337" s="56">
        <f>ROUND((4638*$T$1),0)*1.05</f>
        <v>4869.9000000000005</v>
      </c>
      <c r="O337" s="56">
        <f>ROUND((4691*$T$1),0)*1.05</f>
        <v>4925.55</v>
      </c>
      <c r="P337" s="56">
        <f>ROUND((4845*$T$1),0)*1.05</f>
        <v>5087.25</v>
      </c>
      <c r="Q337" s="56">
        <f>ROUND((5103*$T$1),0)*1.05</f>
        <v>5358.1500000000005</v>
      </c>
    </row>
    <row r="338" spans="1:17" ht="19.5" customHeight="1" x14ac:dyDescent="0.3">
      <c r="A338" s="42"/>
      <c r="B338" s="43" t="s">
        <v>285</v>
      </c>
      <c r="C338" s="44" t="s">
        <v>45</v>
      </c>
      <c r="D338" s="47">
        <v>1.4</v>
      </c>
      <c r="E338" s="46" t="s">
        <v>47</v>
      </c>
      <c r="F338" s="54">
        <v>1.62</v>
      </c>
      <c r="G338" s="46" t="s">
        <v>48</v>
      </c>
      <c r="H338" s="57">
        <v>0.94</v>
      </c>
      <c r="I338" s="48">
        <v>11</v>
      </c>
      <c r="J338" s="56">
        <f>ROUND((3895*$T$1),0)*1.05</f>
        <v>4089.75</v>
      </c>
      <c r="K338" s="56">
        <f>ROUND((4327*$T$1),0)*1.05</f>
        <v>4543.3500000000004</v>
      </c>
      <c r="L338" s="56">
        <f>ROUND((4401*$T$1),0)*1.05</f>
        <v>4621.05</v>
      </c>
      <c r="M338" s="56">
        <f>ROUND((4485*$T$1),0)*1.05</f>
        <v>4709.25</v>
      </c>
      <c r="N338" s="56">
        <f>ROUND((4569*$T$1),0)*1.05</f>
        <v>4797.45</v>
      </c>
      <c r="O338" s="56">
        <f>ROUND((4621*$T$1),0)*1.05</f>
        <v>4852.05</v>
      </c>
      <c r="P338" s="56">
        <f>ROUND((4773*$T$1),0)*1.05</f>
        <v>5011.6500000000005</v>
      </c>
      <c r="Q338" s="56">
        <f>ROUND((5026*$T$1),0)*1.05</f>
        <v>5277.3</v>
      </c>
    </row>
    <row r="339" spans="1:17" ht="19.5" customHeight="1" x14ac:dyDescent="0.3">
      <c r="A339" s="42"/>
      <c r="B339" s="43" t="s">
        <v>286</v>
      </c>
      <c r="C339" s="44" t="s">
        <v>45</v>
      </c>
      <c r="D339" s="47">
        <v>1.3</v>
      </c>
      <c r="E339" s="46" t="s">
        <v>47</v>
      </c>
      <c r="F339" s="54">
        <v>1.62</v>
      </c>
      <c r="G339" s="46" t="s">
        <v>48</v>
      </c>
      <c r="H339" s="57">
        <v>0.94</v>
      </c>
      <c r="I339" s="48">
        <v>10</v>
      </c>
      <c r="J339" s="56">
        <f>ROUND((3810*$T$1),0)*1.05</f>
        <v>4000.5</v>
      </c>
      <c r="K339" s="56">
        <f>ROUND((4233*$T$1),0)*1.05</f>
        <v>4444.6500000000005</v>
      </c>
      <c r="L339" s="56">
        <f>ROUND((4298*$T$1),0)*1.05</f>
        <v>4512.9000000000005</v>
      </c>
      <c r="M339" s="56">
        <f>ROUND((4372*$T$1),0)*1.05</f>
        <v>4590.6000000000004</v>
      </c>
      <c r="N339" s="56">
        <f>ROUND((4447*$T$1),0)*1.05</f>
        <v>4669.3500000000004</v>
      </c>
      <c r="O339" s="56">
        <f>ROUND((4493*$T$1),0)*1.05</f>
        <v>4717.6500000000005</v>
      </c>
      <c r="P339" s="56">
        <f>ROUND((4626*$T$1),0)*1.05</f>
        <v>4857.3</v>
      </c>
      <c r="Q339" s="56">
        <f>ROUND((4851*$T$1),0)*1.05</f>
        <v>5093.55</v>
      </c>
    </row>
    <row r="340" spans="1:17" ht="19.5" customHeight="1" x14ac:dyDescent="0.3">
      <c r="A340" s="42"/>
      <c r="B340" s="43"/>
      <c r="C340" s="44"/>
      <c r="D340" s="45"/>
      <c r="E340" s="46"/>
      <c r="F340" s="47"/>
      <c r="G340" s="46"/>
      <c r="H340" s="47"/>
      <c r="I340" s="48"/>
      <c r="J340" s="49"/>
      <c r="K340" s="49"/>
      <c r="L340" s="49"/>
      <c r="M340" s="49"/>
      <c r="N340" s="49"/>
      <c r="O340" s="49"/>
      <c r="P340" s="49"/>
      <c r="Q340" s="49"/>
    </row>
    <row r="341" spans="1:17" ht="19.5" customHeight="1" x14ac:dyDescent="0.3">
      <c r="A341" s="42"/>
      <c r="B341" s="43" t="s">
        <v>287</v>
      </c>
      <c r="C341" s="44" t="s">
        <v>45</v>
      </c>
      <c r="D341" s="54">
        <v>1.8</v>
      </c>
      <c r="E341" s="46" t="s">
        <v>47</v>
      </c>
      <c r="F341" s="54">
        <v>1.22</v>
      </c>
      <c r="G341" s="46" t="s">
        <v>48</v>
      </c>
      <c r="H341" s="57">
        <v>0.94</v>
      </c>
      <c r="I341" s="55">
        <v>9</v>
      </c>
      <c r="J341" s="56">
        <f>ROUND((3468*$T$1),0)*1.05</f>
        <v>3641.4</v>
      </c>
      <c r="K341" s="56">
        <f>ROUND((3854*$T$1),0)*1.05</f>
        <v>4046.7000000000003</v>
      </c>
      <c r="L341" s="56">
        <f>ROUND((3919*$T$1),0)*1.05</f>
        <v>4114.95</v>
      </c>
      <c r="M341" s="56">
        <f>ROUND((3994*$T$1),0)*1.05</f>
        <v>4193.7</v>
      </c>
      <c r="N341" s="56">
        <f>ROUND((4069*$T$1),0)*1.05</f>
        <v>4272.45</v>
      </c>
      <c r="O341" s="56">
        <f>ROUND((4115*$T$1),0)*1.05</f>
        <v>4320.75</v>
      </c>
      <c r="P341" s="56">
        <f>ROUND((4250*$T$1),0)*1.05</f>
        <v>4462.5</v>
      </c>
      <c r="Q341" s="56">
        <f>ROUND((4476*$T$1),0)*1.05</f>
        <v>4699.8</v>
      </c>
    </row>
    <row r="342" spans="1:17" ht="19.5" customHeight="1" x14ac:dyDescent="0.3">
      <c r="A342" s="42"/>
      <c r="B342" s="43" t="s">
        <v>288</v>
      </c>
      <c r="C342" s="44" t="s">
        <v>45</v>
      </c>
      <c r="D342" s="54">
        <v>1.7</v>
      </c>
      <c r="E342" s="46" t="s">
        <v>47</v>
      </c>
      <c r="F342" s="54">
        <v>1.22</v>
      </c>
      <c r="G342" s="46" t="s">
        <v>48</v>
      </c>
      <c r="H342" s="57">
        <v>0.94</v>
      </c>
      <c r="I342" s="48">
        <v>9</v>
      </c>
      <c r="J342" s="49">
        <f>ROUND((3417*$T$1),0)*1.05</f>
        <v>3587.8500000000004</v>
      </c>
      <c r="K342" s="49">
        <f>ROUND((3796*$T$1),0)*1.05</f>
        <v>3985.8</v>
      </c>
      <c r="L342" s="49">
        <f>ROUND((3861*$T$1),0)*1.05</f>
        <v>4054.05</v>
      </c>
      <c r="M342" s="49">
        <f>ROUND((3934*$T$1),0)*1.05</f>
        <v>4130.7</v>
      </c>
      <c r="N342" s="49">
        <f>ROUND((4008*$T$1),0)*1.05</f>
        <v>4208.4000000000005</v>
      </c>
      <c r="O342" s="49">
        <f>ROUND((4053*$T$1),0)*1.05</f>
        <v>4255.6500000000005</v>
      </c>
      <c r="P342" s="49">
        <f>ROUND((4187*$T$1),0)*1.05</f>
        <v>4396.3500000000004</v>
      </c>
      <c r="Q342" s="49">
        <f>ROUND((4409*$T$1),0)*1.05</f>
        <v>4629.45</v>
      </c>
    </row>
    <row r="343" spans="1:17" ht="19.5" customHeight="1" x14ac:dyDescent="0.3">
      <c r="A343" s="42"/>
      <c r="B343" s="43" t="s">
        <v>289</v>
      </c>
      <c r="C343" s="44" t="s">
        <v>45</v>
      </c>
      <c r="D343" s="54">
        <v>1.6</v>
      </c>
      <c r="E343" s="46" t="s">
        <v>47</v>
      </c>
      <c r="F343" s="54">
        <v>1.22</v>
      </c>
      <c r="G343" s="46" t="s">
        <v>48</v>
      </c>
      <c r="H343" s="57">
        <v>0.94</v>
      </c>
      <c r="I343" s="55">
        <v>8</v>
      </c>
      <c r="J343" s="56">
        <f>ROUND((3342*$T$1),0)*1.05</f>
        <v>3509.1000000000004</v>
      </c>
      <c r="K343" s="56">
        <f>ROUND((3713*$T$1),0)*1.05</f>
        <v>3898.65</v>
      </c>
      <c r="L343" s="56">
        <f>ROUND((3770*$T$1),0)*1.05</f>
        <v>3958.5</v>
      </c>
      <c r="M343" s="56">
        <f>ROUND((3835*$T$1),0)*1.05</f>
        <v>4026.75</v>
      </c>
      <c r="N343" s="56">
        <f>ROUND((3901*$T$1),0)*1.05</f>
        <v>4096.05</v>
      </c>
      <c r="O343" s="56">
        <f>ROUND((3941*$T$1),0)*1.05</f>
        <v>4138.05</v>
      </c>
      <c r="P343" s="56">
        <f>ROUND((4058*$T$1),0)*1.05</f>
        <v>4260.9000000000005</v>
      </c>
      <c r="Q343" s="56">
        <f>ROUND((4255*$T$1),0)*1.05</f>
        <v>4467.75</v>
      </c>
    </row>
    <row r="344" spans="1:17" ht="19.5" customHeight="1" x14ac:dyDescent="0.3">
      <c r="A344" s="42"/>
      <c r="B344" s="43"/>
      <c r="C344" s="44"/>
      <c r="D344" s="45"/>
      <c r="E344" s="46"/>
      <c r="F344" s="47"/>
      <c r="G344" s="46"/>
      <c r="H344" s="47"/>
      <c r="I344" s="48"/>
      <c r="J344" s="49"/>
      <c r="K344" s="49"/>
      <c r="L344" s="49"/>
      <c r="M344" s="49"/>
      <c r="N344" s="49"/>
      <c r="O344" s="49"/>
      <c r="P344" s="49"/>
      <c r="Q344" s="49"/>
    </row>
    <row r="345" spans="1:17" ht="19.5" customHeight="1" x14ac:dyDescent="0.3">
      <c r="A345" s="42"/>
      <c r="B345" s="43" t="s">
        <v>226</v>
      </c>
      <c r="C345" s="44" t="s">
        <v>45</v>
      </c>
      <c r="D345" s="47">
        <v>1.23</v>
      </c>
      <c r="E345" s="46" t="s">
        <v>47</v>
      </c>
      <c r="F345" s="47">
        <v>1.23</v>
      </c>
      <c r="G345" s="46" t="s">
        <v>48</v>
      </c>
      <c r="H345" s="57">
        <v>0.94</v>
      </c>
      <c r="I345" s="55">
        <v>10</v>
      </c>
      <c r="J345" s="56">
        <f>ROUND((3105*$T$1),0)*1.05</f>
        <v>3260.25</v>
      </c>
      <c r="K345" s="56">
        <f>ROUND((3450*$T$1),0)*1.05</f>
        <v>3622.5</v>
      </c>
      <c r="L345" s="56">
        <f>ROUND((3510*$T$1),0)*1.05</f>
        <v>3685.5</v>
      </c>
      <c r="M345" s="56">
        <f>ROUND((3580*$T$1),0)*1.05</f>
        <v>3759</v>
      </c>
      <c r="N345" s="56">
        <f>ROUND((3649*$T$1),0)*1.05</f>
        <v>3831.4500000000003</v>
      </c>
      <c r="O345" s="56">
        <f>ROUND((3690*$T$1),0)*1.05</f>
        <v>3874.5</v>
      </c>
      <c r="P345" s="56">
        <f>ROUND((3816*$T$1),0)*1.05</f>
        <v>4006.8</v>
      </c>
      <c r="Q345" s="56">
        <f>ROUND((4024*$T$1),0)*1.05</f>
        <v>4225.2</v>
      </c>
    </row>
    <row r="346" spans="1:17" ht="19.5" customHeight="1" x14ac:dyDescent="0.3">
      <c r="A346" s="42"/>
      <c r="B346" s="43"/>
      <c r="C346" s="44"/>
      <c r="D346" s="45"/>
      <c r="E346" s="46"/>
      <c r="F346" s="47"/>
      <c r="G346" s="46"/>
      <c r="H346" s="47"/>
      <c r="I346" s="102"/>
      <c r="J346" s="87"/>
      <c r="K346" s="87"/>
      <c r="L346" s="87"/>
      <c r="M346" s="87"/>
      <c r="N346" s="87"/>
      <c r="O346" s="87"/>
      <c r="P346" s="87"/>
      <c r="Q346" s="87"/>
    </row>
    <row r="347" spans="1:17" ht="19.5" customHeight="1" x14ac:dyDescent="0.35">
      <c r="A347" s="42" t="s">
        <v>276</v>
      </c>
      <c r="B347" s="83" t="s">
        <v>123</v>
      </c>
      <c r="C347" s="44"/>
      <c r="D347" s="45"/>
      <c r="E347" s="46"/>
      <c r="F347" s="47"/>
      <c r="G347" s="46"/>
      <c r="H347" s="47"/>
      <c r="I347" s="102"/>
      <c r="J347" s="87"/>
      <c r="K347" s="87"/>
      <c r="L347" s="87"/>
      <c r="M347" s="87"/>
      <c r="N347" s="87"/>
      <c r="O347" s="87"/>
      <c r="P347" s="87"/>
      <c r="Q347" s="87"/>
    </row>
    <row r="348" spans="1:17" ht="19.5" customHeight="1" x14ac:dyDescent="0.3">
      <c r="A348" s="42"/>
      <c r="B348" s="43"/>
      <c r="C348" s="44"/>
      <c r="D348" s="45"/>
      <c r="E348" s="46"/>
      <c r="F348" s="47"/>
      <c r="G348" s="46"/>
      <c r="H348" s="47"/>
      <c r="I348" s="102"/>
      <c r="J348" s="87"/>
      <c r="K348" s="87"/>
      <c r="L348" s="87"/>
      <c r="M348" s="87"/>
      <c r="N348" s="87"/>
      <c r="O348" s="87"/>
      <c r="P348" s="87"/>
      <c r="Q348" s="87"/>
    </row>
    <row r="349" spans="1:17" ht="19.5" customHeight="1" x14ac:dyDescent="0.3">
      <c r="A349" s="42"/>
      <c r="B349" s="59" t="s">
        <v>290</v>
      </c>
      <c r="C349" s="60"/>
      <c r="D349" s="59"/>
      <c r="E349" s="59"/>
      <c r="F349" s="59"/>
      <c r="G349" s="59"/>
      <c r="H349" s="59"/>
      <c r="I349" s="61"/>
      <c r="J349" s="62"/>
      <c r="K349" s="62"/>
      <c r="L349" s="62"/>
      <c r="M349" s="62"/>
      <c r="N349" s="62"/>
      <c r="O349" s="62"/>
      <c r="P349" s="62"/>
      <c r="Q349" s="62"/>
    </row>
    <row r="350" spans="1:17" ht="15" customHeight="1" x14ac:dyDescent="0.3">
      <c r="A350" s="67"/>
      <c r="B350" s="68"/>
      <c r="C350" s="84"/>
      <c r="D350" s="72"/>
      <c r="E350" s="73"/>
      <c r="F350" s="72"/>
      <c r="G350" s="73"/>
      <c r="H350" s="72"/>
      <c r="I350" s="74"/>
      <c r="J350" s="75"/>
      <c r="K350" s="75"/>
      <c r="L350" s="75"/>
      <c r="M350" s="75"/>
      <c r="N350" s="75"/>
      <c r="O350" s="75"/>
      <c r="P350" s="75"/>
      <c r="Q350" s="75"/>
    </row>
    <row r="351" spans="1:17" ht="31.5" customHeight="1" x14ac:dyDescent="0.25">
      <c r="A351" s="89" t="s">
        <v>291</v>
      </c>
      <c r="B351" s="77"/>
      <c r="C351" s="187" t="s">
        <v>41</v>
      </c>
      <c r="D351" s="187"/>
      <c r="E351" s="187"/>
      <c r="F351" s="187"/>
      <c r="G351" s="187"/>
      <c r="H351" s="187"/>
      <c r="I351" s="78" t="s">
        <v>42</v>
      </c>
      <c r="J351" s="41" t="s">
        <v>43</v>
      </c>
      <c r="K351" s="41">
        <v>1000</v>
      </c>
      <c r="L351" s="41">
        <v>2000</v>
      </c>
      <c r="M351" s="41">
        <v>3000</v>
      </c>
      <c r="N351" s="41">
        <v>4000</v>
      </c>
      <c r="O351" s="41">
        <v>5000</v>
      </c>
      <c r="P351" s="41">
        <v>6000</v>
      </c>
      <c r="Q351" s="41">
        <v>7000</v>
      </c>
    </row>
    <row r="352" spans="1:17" ht="19.5" customHeight="1" x14ac:dyDescent="0.3">
      <c r="A352" s="42"/>
      <c r="B352" s="43" t="s">
        <v>292</v>
      </c>
      <c r="C352" s="44" t="s">
        <v>45</v>
      </c>
      <c r="D352" s="47">
        <v>1.02</v>
      </c>
      <c r="E352" s="46" t="s">
        <v>47</v>
      </c>
      <c r="F352" s="47">
        <v>0.85</v>
      </c>
      <c r="G352" s="46" t="s">
        <v>48</v>
      </c>
      <c r="H352" s="47">
        <v>0.71</v>
      </c>
      <c r="I352" s="48">
        <v>5</v>
      </c>
      <c r="J352" s="49">
        <f>ROUND((2889*$T$1),0)*1.05</f>
        <v>3033.4500000000003</v>
      </c>
      <c r="K352" s="49">
        <f>ROUND((3210*$T$1),0)*1.05</f>
        <v>3370.5</v>
      </c>
      <c r="L352" s="49">
        <f>ROUND((3246*$T$1),0)*1.05</f>
        <v>3408.3</v>
      </c>
      <c r="M352" s="49">
        <f>ROUND((3288*$T$1),0)*1.05</f>
        <v>3452.4</v>
      </c>
      <c r="N352" s="49">
        <f>ROUND((3329*$T$1),0)*1.05</f>
        <v>3495.4500000000003</v>
      </c>
      <c r="O352" s="49">
        <f>ROUND((3355*$T$1),0)*1.05</f>
        <v>3522.75</v>
      </c>
      <c r="P352" s="49">
        <f>ROUND((3429*$T$1),0)*1.05</f>
        <v>3600.4500000000003</v>
      </c>
      <c r="Q352" s="49">
        <f>ROUND((3554*$T$1),0)*1.05</f>
        <v>3731.7000000000003</v>
      </c>
    </row>
    <row r="353" spans="1:17" ht="19.5" customHeight="1" x14ac:dyDescent="0.3">
      <c r="A353" s="42"/>
      <c r="B353" s="50"/>
      <c r="C353" s="51"/>
      <c r="D353" s="54"/>
      <c r="E353" s="53"/>
      <c r="F353" s="54"/>
      <c r="G353" s="53"/>
      <c r="H353" s="54"/>
      <c r="I353" s="55"/>
      <c r="J353" s="56"/>
      <c r="K353" s="56"/>
      <c r="L353" s="56"/>
      <c r="M353" s="56"/>
      <c r="N353" s="56"/>
      <c r="O353" s="56"/>
      <c r="P353" s="56"/>
      <c r="Q353" s="56"/>
    </row>
    <row r="354" spans="1:17" ht="19.5" customHeight="1" x14ac:dyDescent="0.3">
      <c r="A354" s="42"/>
      <c r="B354" s="50"/>
      <c r="C354" s="51"/>
      <c r="D354" s="54"/>
      <c r="E354" s="53"/>
      <c r="F354" s="54"/>
      <c r="G354" s="53"/>
      <c r="H354" s="54"/>
      <c r="I354" s="55"/>
      <c r="J354" s="56"/>
      <c r="K354" s="56"/>
      <c r="L354" s="56"/>
      <c r="M354" s="56"/>
      <c r="N354" s="56"/>
      <c r="O354" s="56"/>
      <c r="P354" s="56"/>
      <c r="Q354" s="56"/>
    </row>
    <row r="355" spans="1:17" ht="19.5" customHeight="1" x14ac:dyDescent="0.3">
      <c r="A355" s="86"/>
      <c r="B355" s="43"/>
      <c r="C355" s="44"/>
      <c r="D355" s="47"/>
      <c r="E355" s="46"/>
      <c r="F355" s="47"/>
      <c r="G355" s="46"/>
      <c r="H355" s="47"/>
      <c r="I355" s="48"/>
      <c r="J355" s="49"/>
      <c r="K355" s="49"/>
      <c r="L355" s="49"/>
      <c r="M355" s="49"/>
      <c r="N355" s="49"/>
      <c r="O355" s="49"/>
      <c r="P355" s="49"/>
      <c r="Q355" s="49"/>
    </row>
    <row r="356" spans="1:17" ht="19.5" customHeight="1" x14ac:dyDescent="0.35">
      <c r="A356" s="42"/>
      <c r="B356" s="83" t="s">
        <v>123</v>
      </c>
      <c r="C356" s="44"/>
      <c r="D356" s="47"/>
      <c r="E356" s="46"/>
      <c r="F356" s="47"/>
      <c r="G356" s="46"/>
      <c r="H356" s="47"/>
      <c r="I356" s="57"/>
      <c r="J356" s="58"/>
      <c r="K356" s="58"/>
      <c r="L356" s="58"/>
      <c r="M356" s="58"/>
      <c r="N356" s="58"/>
      <c r="O356" s="58"/>
      <c r="P356" s="58"/>
      <c r="Q356" s="58"/>
    </row>
    <row r="357" spans="1:17" ht="19.5" customHeight="1" x14ac:dyDescent="0.3">
      <c r="A357" s="42"/>
      <c r="B357" s="44"/>
      <c r="C357" s="44"/>
      <c r="D357" s="47"/>
      <c r="E357" s="46"/>
      <c r="F357" s="47"/>
      <c r="G357" s="46"/>
      <c r="H357" s="47"/>
      <c r="I357" s="57"/>
      <c r="J357" s="58"/>
      <c r="K357" s="58"/>
      <c r="L357" s="58"/>
      <c r="M357" s="58"/>
      <c r="N357" s="58"/>
      <c r="O357" s="58"/>
      <c r="P357" s="58"/>
      <c r="Q357" s="58"/>
    </row>
    <row r="358" spans="1:17" ht="19.5" customHeight="1" x14ac:dyDescent="0.3">
      <c r="A358" s="42"/>
      <c r="B358" s="59" t="s">
        <v>124</v>
      </c>
      <c r="C358" s="60"/>
      <c r="D358" s="59"/>
      <c r="E358" s="59"/>
      <c r="F358" s="59"/>
      <c r="G358" s="59"/>
      <c r="H358" s="59"/>
      <c r="I358" s="61"/>
      <c r="J358" s="62"/>
      <c r="K358" s="62"/>
      <c r="L358" s="62"/>
      <c r="M358" s="62"/>
      <c r="N358" s="62"/>
      <c r="O358" s="62"/>
      <c r="P358" s="62"/>
      <c r="Q358" s="62"/>
    </row>
    <row r="359" spans="1:17" ht="19.5" customHeight="1" x14ac:dyDescent="0.3">
      <c r="A359" s="42"/>
      <c r="B359" s="63"/>
      <c r="C359" s="64"/>
      <c r="D359" s="65"/>
      <c r="E359" s="49"/>
      <c r="F359" s="66"/>
      <c r="G359" s="48"/>
      <c r="H359" s="66"/>
      <c r="I359" s="48"/>
      <c r="J359" s="49"/>
      <c r="K359" s="49"/>
      <c r="L359" s="49"/>
      <c r="M359" s="49"/>
      <c r="N359" s="49"/>
      <c r="O359" s="49"/>
      <c r="P359" s="49"/>
      <c r="Q359" s="49"/>
    </row>
    <row r="360" spans="1:17" ht="31.5" customHeight="1" x14ac:dyDescent="0.25">
      <c r="A360" s="89" t="s">
        <v>293</v>
      </c>
      <c r="B360" s="77"/>
      <c r="C360" s="187" t="s">
        <v>41</v>
      </c>
      <c r="D360" s="187"/>
      <c r="E360" s="187"/>
      <c r="F360" s="187"/>
      <c r="G360" s="187"/>
      <c r="H360" s="187"/>
      <c r="I360" s="78" t="s">
        <v>42</v>
      </c>
      <c r="J360" s="41" t="s">
        <v>43</v>
      </c>
      <c r="K360" s="41">
        <v>1000</v>
      </c>
      <c r="L360" s="41">
        <v>2000</v>
      </c>
      <c r="M360" s="41">
        <v>3000</v>
      </c>
      <c r="N360" s="41">
        <v>4000</v>
      </c>
      <c r="O360" s="41">
        <v>5000</v>
      </c>
      <c r="P360" s="41">
        <v>6000</v>
      </c>
      <c r="Q360" s="41">
        <v>7000</v>
      </c>
    </row>
    <row r="361" spans="1:17" ht="19.5" customHeight="1" x14ac:dyDescent="0.3">
      <c r="A361" s="42"/>
      <c r="B361" s="43" t="s">
        <v>98</v>
      </c>
      <c r="C361" s="44" t="s">
        <v>45</v>
      </c>
      <c r="D361" s="47">
        <v>0.5</v>
      </c>
      <c r="E361" s="46" t="s">
        <v>47</v>
      </c>
      <c r="F361" s="47">
        <v>0.5</v>
      </c>
      <c r="G361" s="46" t="s">
        <v>48</v>
      </c>
      <c r="H361" s="47">
        <v>0.45</v>
      </c>
      <c r="I361" s="48">
        <v>2</v>
      </c>
      <c r="J361" s="49">
        <f>ROUND((541*$T$1),0)*1.05</f>
        <v>568.05000000000007</v>
      </c>
      <c r="K361" s="49">
        <f>ROUND((600*$T$1),0)*1.05</f>
        <v>630</v>
      </c>
      <c r="L361" s="49">
        <f>ROUND((611*$T$1),0)*1.05</f>
        <v>641.55000000000007</v>
      </c>
      <c r="M361" s="49">
        <f>ROUND((621*$T$1),0)*1.05</f>
        <v>652.05000000000007</v>
      </c>
      <c r="N361" s="49">
        <f>ROUND((663*$T$1),0)*1.05</f>
        <v>696.15</v>
      </c>
      <c r="O361" s="49">
        <f>ROUND((639*$T$1),0)*1.05</f>
        <v>670.95</v>
      </c>
      <c r="P361" s="49">
        <f>ROUND((659*$T$1),0)*1.05</f>
        <v>691.95</v>
      </c>
      <c r="Q361" s="49">
        <f>ROUND((691*$T$1),0)*1.05</f>
        <v>725.55000000000007</v>
      </c>
    </row>
    <row r="362" spans="1:17" ht="19.5" customHeight="1" x14ac:dyDescent="0.3">
      <c r="A362" s="42"/>
      <c r="B362" s="43" t="s">
        <v>98</v>
      </c>
      <c r="C362" s="44" t="s">
        <v>45</v>
      </c>
      <c r="D362" s="47">
        <v>0.44</v>
      </c>
      <c r="E362" s="46" t="s">
        <v>47</v>
      </c>
      <c r="F362" s="47">
        <v>0.44</v>
      </c>
      <c r="G362" s="46" t="s">
        <v>48</v>
      </c>
      <c r="H362" s="47">
        <v>0.54</v>
      </c>
      <c r="I362" s="48">
        <v>2</v>
      </c>
      <c r="J362" s="49">
        <f>ROUND((520*$T$1),0)*1.05</f>
        <v>546</v>
      </c>
      <c r="K362" s="49">
        <f>ROUND((577*$T$1),0)*1.05</f>
        <v>605.85</v>
      </c>
      <c r="L362" s="49">
        <f>ROUND((587*$T$1),0)*1.05</f>
        <v>616.35</v>
      </c>
      <c r="M362" s="49">
        <f>ROUND((598*$T$1),0)*1.05</f>
        <v>627.9</v>
      </c>
      <c r="N362" s="49">
        <f>ROUND((608*$T$1),0)*1.05</f>
        <v>638.4</v>
      </c>
      <c r="O362" s="49">
        <f>ROUND((615*$T$1),0)*1.05</f>
        <v>645.75</v>
      </c>
      <c r="P362" s="49">
        <f>ROUND((634*$T$1),0)*1.05</f>
        <v>665.7</v>
      </c>
      <c r="Q362" s="49">
        <f>ROUND((666*$T$1),0)*1.05</f>
        <v>699.30000000000007</v>
      </c>
    </row>
    <row r="363" spans="1:17" ht="19.5" customHeight="1" x14ac:dyDescent="0.3">
      <c r="A363" s="42"/>
      <c r="B363" s="50"/>
      <c r="C363" s="51"/>
      <c r="D363" s="54"/>
      <c r="E363" s="53"/>
      <c r="F363" s="54"/>
      <c r="G363" s="53"/>
      <c r="H363" s="54"/>
      <c r="I363" s="55"/>
      <c r="J363" s="56"/>
      <c r="K363" s="56"/>
      <c r="L363" s="56"/>
      <c r="M363" s="56"/>
      <c r="N363" s="56"/>
      <c r="O363" s="56"/>
      <c r="P363" s="56"/>
      <c r="Q363" s="56"/>
    </row>
    <row r="364" spans="1:17" ht="19.5" customHeight="1" x14ac:dyDescent="0.3">
      <c r="A364" s="42"/>
      <c r="B364" s="43"/>
      <c r="C364" s="44"/>
      <c r="D364" s="47"/>
      <c r="E364" s="46"/>
      <c r="F364" s="47"/>
      <c r="G364" s="46"/>
      <c r="H364" s="47"/>
      <c r="I364" s="48"/>
      <c r="J364" s="49"/>
      <c r="K364" s="49"/>
      <c r="L364" s="49"/>
      <c r="M364" s="49"/>
      <c r="N364" s="49"/>
      <c r="O364" s="49"/>
      <c r="P364" s="49"/>
      <c r="Q364" s="49"/>
    </row>
    <row r="365" spans="1:17" ht="19.5" customHeight="1" x14ac:dyDescent="0.3">
      <c r="A365" s="86"/>
      <c r="B365" s="43"/>
      <c r="C365" s="44"/>
      <c r="D365" s="47"/>
      <c r="E365" s="46"/>
      <c r="F365" s="47"/>
      <c r="G365" s="46"/>
      <c r="H365" s="47"/>
      <c r="I365" s="48"/>
      <c r="J365" s="49"/>
      <c r="K365" s="49"/>
      <c r="L365" s="49"/>
      <c r="M365" s="49"/>
      <c r="N365" s="49"/>
      <c r="O365" s="49"/>
      <c r="P365" s="49"/>
      <c r="Q365" s="49"/>
    </row>
    <row r="366" spans="1:17" ht="19.5" customHeight="1" x14ac:dyDescent="0.3">
      <c r="A366" s="42"/>
      <c r="B366" s="43"/>
      <c r="C366" s="44"/>
      <c r="D366" s="47"/>
      <c r="E366" s="46"/>
      <c r="F366" s="47"/>
      <c r="G366" s="46"/>
      <c r="H366" s="47"/>
      <c r="I366" s="48"/>
      <c r="J366" s="49"/>
      <c r="K366" s="49"/>
      <c r="L366" s="49"/>
      <c r="M366" s="49"/>
      <c r="N366" s="49"/>
      <c r="O366" s="49"/>
      <c r="P366" s="49"/>
      <c r="Q366" s="49"/>
    </row>
    <row r="367" spans="1:17" ht="19.5" customHeight="1" x14ac:dyDescent="0.3">
      <c r="A367" s="42"/>
      <c r="B367" s="97"/>
      <c r="C367" s="44"/>
      <c r="D367" s="47"/>
      <c r="E367" s="46"/>
      <c r="F367" s="47"/>
      <c r="G367" s="46"/>
      <c r="H367" s="47"/>
      <c r="I367" s="48"/>
      <c r="J367" s="49"/>
      <c r="K367" s="49"/>
      <c r="L367" s="49"/>
      <c r="M367" s="49"/>
      <c r="N367" s="49"/>
      <c r="O367" s="49"/>
      <c r="P367" s="49"/>
      <c r="Q367" s="49"/>
    </row>
    <row r="368" spans="1:17" ht="19.5" customHeight="1" x14ac:dyDescent="0.3">
      <c r="A368" s="42"/>
      <c r="B368" s="44"/>
      <c r="C368" s="44"/>
      <c r="D368" s="47"/>
      <c r="E368" s="46"/>
      <c r="F368" s="47"/>
      <c r="G368" s="46"/>
      <c r="H368" s="47"/>
      <c r="I368" s="48"/>
      <c r="J368" s="49"/>
      <c r="K368" s="49"/>
      <c r="L368" s="49"/>
      <c r="M368" s="87" t="s">
        <v>134</v>
      </c>
      <c r="N368" s="49"/>
      <c r="O368" s="49"/>
      <c r="P368" s="49"/>
      <c r="Q368" s="49"/>
    </row>
    <row r="369" spans="1:17" ht="19.5" customHeight="1" x14ac:dyDescent="0.3">
      <c r="A369" s="42"/>
      <c r="B369" s="59"/>
      <c r="C369" s="60"/>
      <c r="D369" s="59"/>
      <c r="E369" s="59"/>
      <c r="F369" s="59"/>
      <c r="G369" s="59"/>
      <c r="H369" s="59"/>
      <c r="I369" s="61"/>
      <c r="J369" s="62"/>
      <c r="K369" s="62"/>
      <c r="L369" s="62"/>
      <c r="M369" s="62"/>
      <c r="N369" s="62"/>
      <c r="O369" s="62"/>
      <c r="P369" s="62"/>
      <c r="Q369" s="62"/>
    </row>
    <row r="370" spans="1:17" ht="19.5" customHeight="1" x14ac:dyDescent="0.3">
      <c r="A370" s="42"/>
      <c r="B370" s="63"/>
      <c r="C370" s="64"/>
      <c r="D370" s="65"/>
      <c r="E370" s="49"/>
      <c r="F370" s="66"/>
      <c r="G370" s="48"/>
      <c r="H370" s="66"/>
      <c r="I370" s="48"/>
      <c r="J370" s="49"/>
      <c r="K370" s="49"/>
      <c r="L370" s="49"/>
      <c r="M370" s="49"/>
      <c r="N370" s="49"/>
      <c r="O370" s="49"/>
      <c r="P370" s="49"/>
      <c r="Q370" s="49"/>
    </row>
    <row r="371" spans="1:17" ht="31.5" customHeight="1" x14ac:dyDescent="0.25">
      <c r="A371" s="89" t="s">
        <v>294</v>
      </c>
      <c r="B371" s="77"/>
      <c r="C371" s="187" t="s">
        <v>41</v>
      </c>
      <c r="D371" s="187"/>
      <c r="E371" s="187"/>
      <c r="F371" s="187"/>
      <c r="G371" s="187"/>
      <c r="H371" s="187"/>
      <c r="I371" s="78" t="s">
        <v>42</v>
      </c>
      <c r="J371" s="41" t="s">
        <v>43</v>
      </c>
      <c r="K371" s="41">
        <v>1000</v>
      </c>
      <c r="L371" s="41">
        <v>2000</v>
      </c>
      <c r="M371" s="41">
        <v>3000</v>
      </c>
      <c r="N371" s="41">
        <v>4000</v>
      </c>
      <c r="O371" s="41">
        <v>5000</v>
      </c>
      <c r="P371" s="41">
        <v>6000</v>
      </c>
      <c r="Q371" s="41">
        <v>7000</v>
      </c>
    </row>
    <row r="372" spans="1:17" ht="19.5" customHeight="1" x14ac:dyDescent="0.3">
      <c r="A372" s="42"/>
      <c r="B372" s="43" t="s">
        <v>98</v>
      </c>
      <c r="C372" s="44" t="s">
        <v>45</v>
      </c>
      <c r="D372" s="47">
        <v>0.5</v>
      </c>
      <c r="E372" s="46" t="s">
        <v>47</v>
      </c>
      <c r="F372" s="47">
        <v>0.5</v>
      </c>
      <c r="G372" s="46" t="s">
        <v>48</v>
      </c>
      <c r="H372" s="47">
        <v>0.55000000000000004</v>
      </c>
      <c r="I372" s="48">
        <v>2</v>
      </c>
      <c r="J372" s="49">
        <f>ROUND((670*$T$1),0)*1.05</f>
        <v>703.5</v>
      </c>
      <c r="K372" s="49">
        <f>ROUND((745*$T$1),0)*1.05</f>
        <v>782.25</v>
      </c>
      <c r="L372" s="49">
        <f>ROUND((757*$T$1),0)*1.05</f>
        <v>794.85</v>
      </c>
      <c r="M372" s="49">
        <f>ROUND((768*$T$1),0)*1.05</f>
        <v>806.40000000000009</v>
      </c>
      <c r="N372" s="49">
        <f>ROUND((781*$T$1),0)*1.05</f>
        <v>820.05000000000007</v>
      </c>
      <c r="O372" s="49">
        <f>ROUND((788*$T$1),0)*1.05</f>
        <v>827.40000000000009</v>
      </c>
      <c r="P372" s="49">
        <f>ROUND((810*$T$1),0)*1.05</f>
        <v>850.5</v>
      </c>
      <c r="Q372" s="49">
        <f>ROUND((846*$T$1),0)*1.05</f>
        <v>888.30000000000007</v>
      </c>
    </row>
    <row r="373" spans="1:17" ht="19.5" customHeight="1" x14ac:dyDescent="0.3">
      <c r="A373" s="42"/>
      <c r="B373" s="43" t="s">
        <v>98</v>
      </c>
      <c r="C373" s="44" t="s">
        <v>45</v>
      </c>
      <c r="D373" s="47">
        <v>0.4</v>
      </c>
      <c r="E373" s="46" t="s">
        <v>47</v>
      </c>
      <c r="F373" s="47">
        <v>0.4</v>
      </c>
      <c r="G373" s="46" t="s">
        <v>48</v>
      </c>
      <c r="H373" s="47">
        <v>0.42</v>
      </c>
      <c r="I373" s="48">
        <v>2</v>
      </c>
      <c r="J373" s="49">
        <f>ROUND((610*$T$1),0)*1.05</f>
        <v>640.5</v>
      </c>
      <c r="K373" s="49">
        <f>ROUND((677*$T$1),0)*1.05</f>
        <v>710.85</v>
      </c>
      <c r="L373" s="49">
        <f>ROUND((685*$T$1),0)*1.05</f>
        <v>719.25</v>
      </c>
      <c r="M373" s="49">
        <f>ROUND((695*$T$1),0)*1.05</f>
        <v>729.75</v>
      </c>
      <c r="N373" s="49">
        <f>ROUND((704*$T$1),0)*1.05</f>
        <v>739.2</v>
      </c>
      <c r="O373" s="49">
        <f>ROUND((710*$T$1),0)*1.05</f>
        <v>745.5</v>
      </c>
      <c r="P373" s="49">
        <f>ROUND((726*$T$1),0)*1.05</f>
        <v>762.30000000000007</v>
      </c>
      <c r="Q373" s="49">
        <f>ROUND((752*$T$1),0)*1.05</f>
        <v>789.6</v>
      </c>
    </row>
    <row r="374" spans="1:17" ht="19.5" customHeight="1" x14ac:dyDescent="0.3">
      <c r="A374" s="42"/>
      <c r="B374" s="43"/>
      <c r="C374" s="44"/>
      <c r="D374" s="47"/>
      <c r="E374" s="46"/>
      <c r="F374" s="47"/>
      <c r="G374" s="46"/>
      <c r="H374" s="47"/>
      <c r="I374" s="48"/>
      <c r="J374" s="49"/>
      <c r="K374" s="49"/>
      <c r="L374" s="49"/>
      <c r="M374" s="49"/>
      <c r="N374" s="49"/>
      <c r="O374" s="49"/>
      <c r="P374" s="49"/>
      <c r="Q374" s="49"/>
    </row>
    <row r="375" spans="1:17" ht="19.5" customHeight="1" x14ac:dyDescent="0.3">
      <c r="A375" s="42"/>
      <c r="B375" s="43"/>
      <c r="C375" s="191"/>
      <c r="D375" s="191"/>
      <c r="E375" s="191"/>
      <c r="F375" s="191"/>
      <c r="G375" s="191"/>
      <c r="H375" s="191"/>
      <c r="I375" s="191"/>
    </row>
    <row r="376" spans="1:17" ht="19.5" customHeight="1" x14ac:dyDescent="0.35">
      <c r="A376" s="42"/>
      <c r="B376" s="107" t="s">
        <v>295</v>
      </c>
      <c r="C376" s="44"/>
      <c r="D376" s="47"/>
      <c r="E376" s="46"/>
      <c r="F376" s="47"/>
      <c r="G376" s="46"/>
      <c r="H376" s="47"/>
      <c r="I376" s="48"/>
      <c r="J376" s="49"/>
      <c r="K376" s="49"/>
      <c r="L376" s="49"/>
      <c r="M376" s="49"/>
      <c r="N376" s="49"/>
      <c r="O376" s="49"/>
      <c r="P376" s="49"/>
      <c r="Q376" s="49"/>
    </row>
    <row r="377" spans="1:17" ht="19.5" customHeight="1" x14ac:dyDescent="0.3">
      <c r="A377" s="86"/>
      <c r="B377" s="108"/>
      <c r="C377" s="44"/>
      <c r="D377" s="47"/>
      <c r="E377" s="46"/>
      <c r="F377" s="47"/>
      <c r="G377" s="46"/>
      <c r="H377" s="47"/>
      <c r="I377" s="48"/>
      <c r="J377" s="49"/>
      <c r="K377" s="49"/>
      <c r="L377" s="49"/>
      <c r="M377" s="49"/>
      <c r="N377" s="49"/>
      <c r="O377" s="49"/>
      <c r="P377" s="49"/>
      <c r="Q377" s="49"/>
    </row>
    <row r="378" spans="1:17" ht="19.5" customHeight="1" x14ac:dyDescent="0.35">
      <c r="A378" s="42"/>
      <c r="B378" s="107" t="s">
        <v>296</v>
      </c>
      <c r="C378" s="44"/>
      <c r="D378" s="47"/>
      <c r="E378" s="46"/>
      <c r="F378" s="47"/>
      <c r="G378" s="46"/>
      <c r="H378" s="47"/>
      <c r="I378" s="57"/>
      <c r="J378" s="58"/>
      <c r="K378" s="58"/>
      <c r="L378" s="58"/>
      <c r="M378" s="58"/>
      <c r="N378" s="58"/>
      <c r="O378" s="58"/>
      <c r="P378" s="58"/>
      <c r="Q378" s="58"/>
    </row>
    <row r="379" spans="1:17" ht="19.5" customHeight="1" x14ac:dyDescent="0.3">
      <c r="A379" s="42"/>
      <c r="B379" s="44"/>
      <c r="C379" s="44"/>
      <c r="D379" s="47"/>
      <c r="E379" s="46"/>
      <c r="F379" s="47"/>
      <c r="G379" s="46"/>
      <c r="H379" s="47"/>
      <c r="I379" s="57"/>
      <c r="J379" s="58"/>
      <c r="K379" s="58"/>
      <c r="L379" s="58"/>
      <c r="M379" s="58"/>
      <c r="N379" s="58"/>
      <c r="O379" s="58"/>
      <c r="P379" s="58"/>
      <c r="Q379" s="58"/>
    </row>
    <row r="380" spans="1:17" ht="19.5" customHeight="1" x14ac:dyDescent="0.3">
      <c r="A380" s="42"/>
      <c r="B380" s="59"/>
      <c r="C380" s="60"/>
      <c r="D380" s="59"/>
      <c r="E380" s="59"/>
      <c r="F380" s="59"/>
      <c r="G380" s="59"/>
      <c r="H380" s="59"/>
      <c r="I380" s="61"/>
      <c r="J380" s="62"/>
      <c r="K380" s="62"/>
      <c r="L380" s="62"/>
      <c r="M380" s="62"/>
      <c r="N380" s="62"/>
      <c r="O380" s="62"/>
      <c r="P380" s="62"/>
      <c r="Q380" s="62"/>
    </row>
    <row r="381" spans="1:17" ht="19.5" customHeight="1" x14ac:dyDescent="0.3">
      <c r="B381" s="109"/>
      <c r="C381" s="110"/>
      <c r="I381" s="111"/>
      <c r="J381" s="112"/>
      <c r="K381" s="112"/>
      <c r="L381" s="112"/>
      <c r="M381" s="112"/>
      <c r="N381" s="112"/>
      <c r="O381" s="112"/>
      <c r="P381" s="112"/>
      <c r="Q381" s="112"/>
    </row>
    <row r="382" spans="1:17" ht="19.5" customHeight="1" x14ac:dyDescent="0.3">
      <c r="A382" s="113"/>
      <c r="B382" s="114"/>
      <c r="C382" s="115"/>
      <c r="D382" s="116"/>
      <c r="E382" s="75"/>
      <c r="F382" s="117"/>
      <c r="G382" s="74"/>
      <c r="H382" s="117"/>
      <c r="I382" s="74"/>
      <c r="J382" s="75"/>
      <c r="K382" s="75"/>
      <c r="L382" s="75"/>
      <c r="M382" s="75"/>
      <c r="N382" s="75"/>
      <c r="O382" s="75"/>
      <c r="P382" s="75"/>
      <c r="Q382" s="75"/>
    </row>
    <row r="383" spans="1:17" ht="19.5" customHeight="1" x14ac:dyDescent="0.3">
      <c r="A383" s="63"/>
      <c r="B383" s="63"/>
      <c r="C383" s="64"/>
      <c r="D383" s="63"/>
      <c r="E383" s="63"/>
      <c r="F383" s="63"/>
      <c r="G383" s="63"/>
      <c r="H383" s="63"/>
      <c r="I383" s="48"/>
      <c r="J383" s="49"/>
      <c r="K383" s="49"/>
      <c r="L383" s="49"/>
      <c r="M383" s="49"/>
      <c r="N383" s="49"/>
      <c r="O383" s="49"/>
      <c r="P383" s="49"/>
      <c r="Q383" s="49"/>
    </row>
    <row r="384" spans="1:17" ht="29.1" customHeight="1" x14ac:dyDescent="0.25">
      <c r="A384" s="189" t="s">
        <v>297</v>
      </c>
      <c r="B384" s="189"/>
      <c r="C384" s="187" t="s">
        <v>41</v>
      </c>
      <c r="D384" s="187"/>
      <c r="E384" s="187"/>
      <c r="F384" s="187"/>
      <c r="G384" s="187"/>
      <c r="H384" s="187"/>
      <c r="I384" s="78" t="s">
        <v>42</v>
      </c>
      <c r="J384" s="41" t="s">
        <v>43</v>
      </c>
      <c r="K384" s="41">
        <v>1000</v>
      </c>
      <c r="L384" s="41">
        <v>2000</v>
      </c>
      <c r="M384" s="41">
        <v>3000</v>
      </c>
      <c r="N384" s="41">
        <v>4000</v>
      </c>
      <c r="O384" s="41">
        <v>5000</v>
      </c>
      <c r="P384" s="41">
        <v>6000</v>
      </c>
      <c r="Q384" s="41">
        <v>7000</v>
      </c>
    </row>
    <row r="385" spans="1:17" ht="19.5" customHeight="1" x14ac:dyDescent="0.3">
      <c r="A385" s="42"/>
      <c r="B385" s="44" t="s">
        <v>298</v>
      </c>
      <c r="C385" s="44" t="s">
        <v>45</v>
      </c>
      <c r="D385" s="45" t="s">
        <v>299</v>
      </c>
      <c r="E385" s="46" t="s">
        <v>47</v>
      </c>
      <c r="F385" s="47">
        <v>0.72</v>
      </c>
      <c r="G385" s="46" t="s">
        <v>48</v>
      </c>
      <c r="H385" s="47">
        <v>0.76</v>
      </c>
      <c r="I385" s="48">
        <v>10</v>
      </c>
      <c r="J385" s="49">
        <f>ROUND((4992*$T$1),0)*1.05</f>
        <v>5241.6000000000004</v>
      </c>
      <c r="K385" s="49">
        <f>ROUND((5546*$T$1),0)*1.05</f>
        <v>5823.3</v>
      </c>
      <c r="L385" s="49">
        <f>ROUND((5611*$T$1),0)*1.05</f>
        <v>5891.55</v>
      </c>
      <c r="M385" s="49">
        <f>ROUND((5687*$T$1),0)*1.05</f>
        <v>5971.35</v>
      </c>
      <c r="N385" s="49">
        <f>ROUND((5762*$T$1),0)*1.05</f>
        <v>6050.1</v>
      </c>
      <c r="O385" s="49">
        <f>ROUND((5806*$T$1),0)*1.05</f>
        <v>6096.3</v>
      </c>
      <c r="P385" s="49">
        <f>ROUND((5941*$T$1),0)*1.05</f>
        <v>6238.05</v>
      </c>
      <c r="Q385" s="49">
        <f>ROUND((6166*$T$1),0)*1.05</f>
        <v>6474.3</v>
      </c>
    </row>
    <row r="386" spans="1:17" ht="19.5" customHeight="1" x14ac:dyDescent="0.3">
      <c r="A386" s="42"/>
      <c r="B386" s="44" t="s">
        <v>300</v>
      </c>
      <c r="C386" s="44" t="s">
        <v>45</v>
      </c>
      <c r="D386" s="45" t="s">
        <v>301</v>
      </c>
      <c r="E386" s="46" t="s">
        <v>47</v>
      </c>
      <c r="F386" s="47">
        <v>0.72</v>
      </c>
      <c r="G386" s="46" t="s">
        <v>48</v>
      </c>
      <c r="H386" s="47">
        <v>0.76</v>
      </c>
      <c r="I386" s="48">
        <v>9.9</v>
      </c>
      <c r="J386" s="49">
        <f>ROUND((4917*$T$1),0)*1.05</f>
        <v>5162.8500000000004</v>
      </c>
      <c r="K386" s="49">
        <f>ROUND((5464*$T$1),0)*1.05</f>
        <v>5737.2</v>
      </c>
      <c r="L386" s="49">
        <f>ROUND((5527*$T$1),0)*1.05</f>
        <v>5803.35</v>
      </c>
      <c r="M386" s="49">
        <f>ROUND((5602*$T$1),0)*1.05</f>
        <v>5882.1</v>
      </c>
      <c r="N386" s="49">
        <f>ROUND((5675*$T$1),0)*1.05</f>
        <v>5958.75</v>
      </c>
      <c r="O386" s="49">
        <f>ROUND((5719*$T$1),0)*1.05</f>
        <v>6004.95</v>
      </c>
      <c r="P386" s="49">
        <f>ROUND((5852*$T$1),0)*1.05</f>
        <v>6144.6</v>
      </c>
      <c r="Q386" s="49">
        <f>ROUND((6074*$T$1),0)*1.05</f>
        <v>6377.7</v>
      </c>
    </row>
    <row r="387" spans="1:17" ht="19.5" customHeight="1" x14ac:dyDescent="0.3">
      <c r="A387" s="42"/>
      <c r="B387" s="44" t="s">
        <v>302</v>
      </c>
      <c r="C387" s="44" t="s">
        <v>45</v>
      </c>
      <c r="D387" s="45" t="s">
        <v>303</v>
      </c>
      <c r="E387" s="46" t="s">
        <v>47</v>
      </c>
      <c r="F387" s="47">
        <v>0.72</v>
      </c>
      <c r="G387" s="46" t="s">
        <v>48</v>
      </c>
      <c r="H387" s="47">
        <v>0.76</v>
      </c>
      <c r="I387" s="48">
        <v>9.8000000000000007</v>
      </c>
      <c r="J387" s="49">
        <f>ROUND((4843*$T$1),0)*1.05</f>
        <v>5085.1500000000005</v>
      </c>
      <c r="K387" s="49">
        <f>ROUND((5381*$T$1),0)*1.05</f>
        <v>5650.05</v>
      </c>
      <c r="L387" s="49">
        <f>ROUND((5444*$T$1),0)*1.05</f>
        <v>5716.2</v>
      </c>
      <c r="M387" s="49">
        <f>ROUND((5518*$T$1),0)*1.05</f>
        <v>5793.9000000000005</v>
      </c>
      <c r="N387" s="49">
        <f>ROUND((5590*$T$1),0)*1.05</f>
        <v>5869.5</v>
      </c>
      <c r="O387" s="49">
        <f>ROUND((5634*$T$1),0)*1.05</f>
        <v>5915.7</v>
      </c>
      <c r="P387" s="49">
        <f>ROUND((5764*$T$1),0)*1.05</f>
        <v>6052.2</v>
      </c>
      <c r="Q387" s="49">
        <f>ROUND((5982*$T$1),0)*1.05</f>
        <v>6281.1</v>
      </c>
    </row>
    <row r="388" spans="1:17" ht="19.5" customHeight="1" x14ac:dyDescent="0.3">
      <c r="A388" s="42"/>
      <c r="B388" s="44"/>
      <c r="C388" s="44"/>
      <c r="D388" s="45"/>
      <c r="E388" s="46"/>
      <c r="F388" s="47"/>
      <c r="G388" s="46"/>
      <c r="H388" s="47"/>
      <c r="I388" s="48"/>
      <c r="J388" s="49"/>
      <c r="K388" s="49"/>
      <c r="L388" s="49"/>
      <c r="M388" s="49"/>
      <c r="N388" s="49"/>
      <c r="O388" s="49"/>
      <c r="P388" s="49"/>
      <c r="Q388" s="49"/>
    </row>
    <row r="389" spans="1:17" ht="19.5" customHeight="1" x14ac:dyDescent="0.3">
      <c r="A389" s="42"/>
      <c r="B389" s="44" t="s">
        <v>304</v>
      </c>
      <c r="C389" s="44" t="s">
        <v>45</v>
      </c>
      <c r="D389" s="45" t="s">
        <v>299</v>
      </c>
      <c r="E389" s="46" t="s">
        <v>47</v>
      </c>
      <c r="F389" s="47">
        <v>0.72</v>
      </c>
      <c r="G389" s="46" t="s">
        <v>48</v>
      </c>
      <c r="H389" s="47">
        <v>0.76</v>
      </c>
      <c r="I389" s="48">
        <v>10.4</v>
      </c>
      <c r="J389" s="49">
        <f>ROUND((5146*$T$1),0)*1.05</f>
        <v>5403.3</v>
      </c>
      <c r="K389" s="49">
        <f>ROUND((5718*$T$1),0)*1.05</f>
        <v>6003.9000000000005</v>
      </c>
      <c r="L389" s="49">
        <f>ROUND((5785*$T$1),0)*1.05</f>
        <v>6074.25</v>
      </c>
      <c r="M389" s="49">
        <f>ROUND((5863*$T$1),0)*1.05</f>
        <v>6156.1500000000005</v>
      </c>
      <c r="N389" s="49">
        <f>ROUND((5940*$T$1),0)*1.05</f>
        <v>6237</v>
      </c>
      <c r="O389" s="49">
        <f>ROUND((5986*$T$1),0)*1.05</f>
        <v>6285.3</v>
      </c>
      <c r="P389" s="49">
        <f>ROUND((6125*$T$1),0)*1.05</f>
        <v>6431.25</v>
      </c>
      <c r="Q389" s="49">
        <f>ROUND((6357*$T$1),0)*1.05</f>
        <v>6674.85</v>
      </c>
    </row>
    <row r="390" spans="1:17" ht="19.5" customHeight="1" x14ac:dyDescent="0.3">
      <c r="A390" s="42"/>
      <c r="B390" s="44" t="s">
        <v>305</v>
      </c>
      <c r="C390" s="44" t="s">
        <v>45</v>
      </c>
      <c r="D390" s="45" t="s">
        <v>301</v>
      </c>
      <c r="E390" s="46" t="s">
        <v>47</v>
      </c>
      <c r="F390" s="47">
        <v>0.72</v>
      </c>
      <c r="G390" s="46" t="s">
        <v>48</v>
      </c>
      <c r="H390" s="47">
        <v>0.76</v>
      </c>
      <c r="I390" s="48">
        <v>10.3</v>
      </c>
      <c r="J390" s="49">
        <f>ROUND((5069*$T$1),0)*1.05</f>
        <v>5322.45</v>
      </c>
      <c r="K390" s="49">
        <f>ROUND((5633*$T$1),0)*1.05</f>
        <v>5914.6500000000005</v>
      </c>
      <c r="L390" s="49">
        <f>ROUND((5697*$T$1),0)*1.05</f>
        <v>5981.85</v>
      </c>
      <c r="M390" s="49">
        <f>ROUND((5774*$T$1),0)*1.05</f>
        <v>6062.7</v>
      </c>
      <c r="N390" s="49">
        <f>ROUND((5850*$T$1),0)*1.05</f>
        <v>6142.5</v>
      </c>
      <c r="O390" s="49">
        <f>ROUND((5896*$T$1),0)*1.05</f>
        <v>6190.8</v>
      </c>
      <c r="P390" s="49">
        <f>ROUND((6033*$T$1),0)*1.05</f>
        <v>6334.6500000000005</v>
      </c>
      <c r="Q390" s="49">
        <f>ROUND((6262*$T$1),0)*1.05</f>
        <v>6575.1</v>
      </c>
    </row>
    <row r="391" spans="1:17" ht="19.5" customHeight="1" x14ac:dyDescent="0.3">
      <c r="A391" s="42"/>
      <c r="B391" s="44" t="s">
        <v>305</v>
      </c>
      <c r="C391" s="44" t="s">
        <v>45</v>
      </c>
      <c r="D391" s="45" t="s">
        <v>303</v>
      </c>
      <c r="E391" s="46" t="s">
        <v>47</v>
      </c>
      <c r="F391" s="47">
        <v>0.72</v>
      </c>
      <c r="G391" s="46" t="s">
        <v>48</v>
      </c>
      <c r="H391" s="47">
        <v>0.76</v>
      </c>
      <c r="I391" s="48">
        <v>10.199999999999999</v>
      </c>
      <c r="J391" s="49">
        <f>ROUND((4993*$T$1),0)*1.05</f>
        <v>5242.6500000000005</v>
      </c>
      <c r="K391" s="49">
        <f>ROUND((5548*$T$1),0)*1.05</f>
        <v>5825.4000000000005</v>
      </c>
      <c r="L391" s="49">
        <f>ROUND((5612*$T$1),0)*1.05</f>
        <v>5892.6</v>
      </c>
      <c r="M391" s="49">
        <f>ROUND((5688*$T$1),0)*1.05</f>
        <v>5972.4000000000005</v>
      </c>
      <c r="N391" s="49">
        <f>ROUND((5763*$T$1),0)*1.05</f>
        <v>6051.1500000000005</v>
      </c>
      <c r="O391" s="49">
        <f>ROUND((5808*$T$1),0)*1.05</f>
        <v>6098.4000000000005</v>
      </c>
      <c r="P391" s="49">
        <f>ROUND((5942*$T$1),0)*1.05</f>
        <v>6239.1</v>
      </c>
      <c r="Q391" s="49">
        <f>ROUND((6167*$T$1),0)*1.05</f>
        <v>6475.35</v>
      </c>
    </row>
    <row r="392" spans="1:17" ht="19.5" customHeight="1" x14ac:dyDescent="0.3">
      <c r="A392" s="42"/>
      <c r="B392" s="44" t="s">
        <v>306</v>
      </c>
      <c r="C392" s="44" t="s">
        <v>45</v>
      </c>
      <c r="D392" s="45" t="s">
        <v>307</v>
      </c>
      <c r="E392" s="46" t="s">
        <v>47</v>
      </c>
      <c r="F392" s="47">
        <v>0.72</v>
      </c>
      <c r="G392" s="46" t="s">
        <v>48</v>
      </c>
      <c r="H392" s="47">
        <v>0.76</v>
      </c>
      <c r="I392" s="48">
        <v>10.6</v>
      </c>
      <c r="J392" s="49">
        <f>ROUND((4843*$T$1),0)*1.05</f>
        <v>5085.1500000000005</v>
      </c>
      <c r="K392" s="49">
        <f>ROUND((5381*$T$1),0)*1.05</f>
        <v>5650.05</v>
      </c>
      <c r="L392" s="49">
        <f>ROUND((5528*$T$1),0)*1.05</f>
        <v>5804.4000000000005</v>
      </c>
      <c r="M392" s="49">
        <f>ROUND((5603*$T$1),0)*1.05</f>
        <v>5883.1500000000005</v>
      </c>
      <c r="N392" s="49">
        <f>ROUND((5676*$T$1),0)*1.05</f>
        <v>5959.8</v>
      </c>
      <c r="O392" s="49">
        <f>ROUND((5720*$T$1),0)*1.05</f>
        <v>6006</v>
      </c>
      <c r="P392" s="49">
        <f>ROUND((5854*$T$1),0)*1.05</f>
        <v>6146.7</v>
      </c>
      <c r="Q392" s="49">
        <f>ROUND((6075*$T$1),0)*1.05</f>
        <v>6378.75</v>
      </c>
    </row>
    <row r="393" spans="1:17" ht="19.5" customHeight="1" x14ac:dyDescent="0.3">
      <c r="A393" s="42"/>
      <c r="B393" s="44"/>
      <c r="C393" s="44"/>
      <c r="D393" s="47"/>
      <c r="E393" s="46"/>
      <c r="F393" s="47"/>
      <c r="G393" s="46"/>
      <c r="H393" s="47"/>
      <c r="I393" s="48"/>
      <c r="J393" s="49"/>
      <c r="K393" s="49"/>
      <c r="L393" s="49"/>
      <c r="M393" s="49"/>
      <c r="N393" s="49"/>
      <c r="O393" s="49"/>
      <c r="P393" s="49"/>
      <c r="Q393" s="49"/>
    </row>
    <row r="394" spans="1:17" ht="19.5" customHeight="1" x14ac:dyDescent="0.3">
      <c r="A394" s="42"/>
      <c r="B394" s="118" t="s">
        <v>308</v>
      </c>
      <c r="C394" s="119"/>
      <c r="D394" s="86"/>
      <c r="E394" s="86"/>
      <c r="F394" s="86"/>
      <c r="G394" s="86"/>
      <c r="H394" s="86"/>
      <c r="I394" s="55"/>
      <c r="J394" s="56"/>
      <c r="K394" s="56"/>
      <c r="L394" s="56"/>
      <c r="M394" s="56"/>
      <c r="N394" s="56"/>
      <c r="O394" s="56"/>
      <c r="P394" s="56"/>
      <c r="Q394" s="56"/>
    </row>
    <row r="395" spans="1:17" ht="19.5" customHeight="1" x14ac:dyDescent="0.3">
      <c r="A395" s="42"/>
      <c r="B395" s="118" t="s">
        <v>309</v>
      </c>
      <c r="C395" s="119"/>
      <c r="D395" s="86"/>
      <c r="E395" s="86"/>
      <c r="F395" s="86"/>
      <c r="G395" s="86"/>
      <c r="H395" s="86"/>
      <c r="I395" s="55"/>
      <c r="J395" s="56"/>
      <c r="K395" s="56"/>
      <c r="L395" s="56"/>
      <c r="M395" s="56"/>
      <c r="N395" s="56"/>
      <c r="O395" s="56"/>
      <c r="P395" s="56"/>
      <c r="Q395" s="56"/>
    </row>
    <row r="396" spans="1:17" ht="19.5" customHeight="1" x14ac:dyDescent="0.3">
      <c r="A396" s="42"/>
      <c r="B396" s="86"/>
      <c r="C396" s="119"/>
      <c r="D396" s="86"/>
      <c r="E396" s="86"/>
      <c r="F396" s="86"/>
      <c r="G396" s="86"/>
      <c r="H396" s="86"/>
      <c r="I396" s="55"/>
      <c r="J396" s="56"/>
      <c r="K396" s="56"/>
      <c r="L396" s="56"/>
      <c r="M396" s="56"/>
      <c r="N396" s="56"/>
      <c r="O396" s="56"/>
      <c r="P396" s="56"/>
      <c r="Q396" s="56"/>
    </row>
    <row r="397" spans="1:17" ht="19.5" customHeight="1" x14ac:dyDescent="0.3">
      <c r="A397" s="42"/>
      <c r="B397" s="59" t="s">
        <v>310</v>
      </c>
      <c r="C397" s="60"/>
      <c r="D397" s="59"/>
      <c r="E397" s="59"/>
      <c r="F397" s="59"/>
      <c r="G397" s="59"/>
      <c r="H397" s="59"/>
      <c r="I397" s="61"/>
      <c r="J397" s="62"/>
      <c r="K397" s="62"/>
      <c r="L397" s="62"/>
      <c r="M397" s="62"/>
      <c r="N397" s="62"/>
      <c r="O397" s="62"/>
      <c r="P397" s="62"/>
      <c r="Q397" s="62"/>
    </row>
    <row r="398" spans="1:17" ht="15" customHeight="1" x14ac:dyDescent="0.3">
      <c r="A398" s="67"/>
      <c r="B398" s="68"/>
      <c r="C398" s="84"/>
      <c r="D398" s="72"/>
      <c r="E398" s="73"/>
      <c r="F398" s="72"/>
      <c r="G398" s="73"/>
      <c r="H398" s="72"/>
      <c r="I398" s="74"/>
      <c r="J398" s="75"/>
      <c r="K398" s="75"/>
      <c r="L398" s="75"/>
      <c r="M398" s="75"/>
      <c r="N398" s="75"/>
      <c r="O398" s="75"/>
      <c r="P398" s="75"/>
      <c r="Q398" s="75"/>
    </row>
    <row r="399" spans="1:17" ht="31.5" customHeight="1" x14ac:dyDescent="0.25">
      <c r="A399" s="89" t="s">
        <v>311</v>
      </c>
      <c r="B399" s="77"/>
      <c r="C399" s="187" t="s">
        <v>41</v>
      </c>
      <c r="D399" s="187"/>
      <c r="E399" s="187"/>
      <c r="F399" s="187"/>
      <c r="G399" s="187"/>
      <c r="H399" s="187"/>
      <c r="I399" s="78" t="s">
        <v>42</v>
      </c>
      <c r="J399" s="41" t="s">
        <v>43</v>
      </c>
      <c r="K399" s="41">
        <v>1000</v>
      </c>
      <c r="L399" s="41">
        <v>2000</v>
      </c>
      <c r="M399" s="41">
        <v>3000</v>
      </c>
      <c r="N399" s="41">
        <v>4000</v>
      </c>
      <c r="O399" s="41">
        <v>5000</v>
      </c>
      <c r="P399" s="41">
        <v>6000</v>
      </c>
      <c r="Q399" s="41">
        <v>7000</v>
      </c>
    </row>
    <row r="400" spans="1:17" ht="19.5" customHeight="1" x14ac:dyDescent="0.3">
      <c r="A400" s="42"/>
      <c r="B400" s="43" t="s">
        <v>312</v>
      </c>
      <c r="C400" s="44" t="s">
        <v>45</v>
      </c>
      <c r="D400" s="47">
        <v>1.4</v>
      </c>
      <c r="E400" s="46" t="s">
        <v>47</v>
      </c>
      <c r="F400" s="47">
        <v>1.25</v>
      </c>
      <c r="G400" s="46" t="s">
        <v>48</v>
      </c>
      <c r="H400" s="57">
        <v>0.9</v>
      </c>
      <c r="I400" s="48">
        <v>11</v>
      </c>
      <c r="J400" s="49">
        <f>ROUND((4697*$T$1),0)*1.05</f>
        <v>4931.8500000000004</v>
      </c>
      <c r="K400" s="49">
        <f>ROUND((5219*$T$1),0)*1.05</f>
        <v>5479.95</v>
      </c>
      <c r="L400" s="49">
        <f>ROUND((5292*$T$1),0)*1.05</f>
        <v>5556.6</v>
      </c>
      <c r="M400" s="49">
        <f>ROUND((5377*$T$1),0)*1.05</f>
        <v>5645.85</v>
      </c>
      <c r="N400" s="49">
        <f>ROUND((5464*$T$1),0)*1.05</f>
        <v>5737.2</v>
      </c>
      <c r="O400" s="49">
        <f>ROUND((5514*$T$1),0)*1.05</f>
        <v>5789.7</v>
      </c>
      <c r="P400" s="49">
        <f>ROUND((5668*$T$1),0)*1.05</f>
        <v>5951.4000000000005</v>
      </c>
      <c r="Q400" s="49">
        <f>ROUND((5925*$T$1),0)*1.05</f>
        <v>6221.25</v>
      </c>
    </row>
    <row r="401" spans="1:17" ht="19.5" customHeight="1" x14ac:dyDescent="0.3">
      <c r="A401" s="42"/>
      <c r="B401" s="43" t="s">
        <v>313</v>
      </c>
      <c r="C401" s="44" t="s">
        <v>45</v>
      </c>
      <c r="D401" s="47">
        <v>1.3</v>
      </c>
      <c r="E401" s="46" t="s">
        <v>47</v>
      </c>
      <c r="F401" s="47">
        <v>1.25</v>
      </c>
      <c r="G401" s="46" t="s">
        <v>48</v>
      </c>
      <c r="H401" s="57">
        <v>0.9</v>
      </c>
      <c r="I401" s="48">
        <v>10.8</v>
      </c>
      <c r="J401" s="49">
        <f>ROUND((4579*$T$1),0)*1.05</f>
        <v>4807.95</v>
      </c>
      <c r="K401" s="49">
        <f>ROUND((5089*$T$1),0)*1.05</f>
        <v>5343.45</v>
      </c>
      <c r="L401" s="49">
        <f>ROUND((5160*$T$1),0)*1.05</f>
        <v>5418</v>
      </c>
      <c r="M401" s="49">
        <f>ROUND((5243*$T$1),0)*1.05</f>
        <v>5505.1500000000005</v>
      </c>
      <c r="N401" s="49">
        <f>ROUND((5327*$T$1),0)*1.05</f>
        <v>5593.35</v>
      </c>
      <c r="O401" s="49">
        <f>ROUND((5376*$T$1),0)*1.05</f>
        <v>5644.8</v>
      </c>
      <c r="P401" s="49">
        <f>ROUND((5527*$T$1),0)*1.05</f>
        <v>5803.35</v>
      </c>
      <c r="Q401" s="49">
        <f>ROUND((5776*$T$1),0)*1.05</f>
        <v>6064.8</v>
      </c>
    </row>
    <row r="402" spans="1:17" ht="19.5" customHeight="1" x14ac:dyDescent="0.3">
      <c r="A402" s="42"/>
      <c r="B402" s="43" t="s">
        <v>314</v>
      </c>
      <c r="C402" s="44" t="s">
        <v>45</v>
      </c>
      <c r="D402" s="47">
        <v>1.2</v>
      </c>
      <c r="E402" s="46" t="s">
        <v>47</v>
      </c>
      <c r="F402" s="47">
        <v>1.25</v>
      </c>
      <c r="G402" s="46" t="s">
        <v>48</v>
      </c>
      <c r="H402" s="57">
        <v>0.9</v>
      </c>
      <c r="I402" s="48">
        <v>10.6</v>
      </c>
      <c r="J402" s="49">
        <f>ROUND((4465*$T$1),0)*1.05</f>
        <v>4688.25</v>
      </c>
      <c r="K402" s="49">
        <f>ROUND((4961*$T$1),0)*1.05</f>
        <v>5209.05</v>
      </c>
      <c r="L402" s="49">
        <f>ROUND((5031*$T$1),0)*1.05</f>
        <v>5282.55</v>
      </c>
      <c r="M402" s="49">
        <f>ROUND((5112*$T$1),0)*1.05</f>
        <v>5367.6</v>
      </c>
      <c r="N402" s="49">
        <f>ROUND((5193*$T$1),0)*1.05</f>
        <v>5452.6500000000005</v>
      </c>
      <c r="O402" s="49">
        <f>ROUND((5242*$T$1),0)*1.05</f>
        <v>5504.1</v>
      </c>
      <c r="P402" s="49">
        <f>ROUND((5389*$T$1),0)*1.05</f>
        <v>5658.45</v>
      </c>
      <c r="Q402" s="49">
        <f>ROUND((5633*$T$1),0)*1.05</f>
        <v>5914.6500000000005</v>
      </c>
    </row>
    <row r="403" spans="1:17" ht="19.5" customHeight="1" x14ac:dyDescent="0.3">
      <c r="A403" s="42"/>
      <c r="B403" s="44"/>
      <c r="C403" s="44"/>
      <c r="D403" s="47"/>
      <c r="E403" s="46"/>
      <c r="F403" s="47"/>
      <c r="G403" s="46"/>
      <c r="H403" s="57"/>
      <c r="I403" s="48"/>
      <c r="J403" s="49"/>
      <c r="K403" s="49"/>
      <c r="L403" s="49"/>
      <c r="M403" s="49"/>
      <c r="N403" s="49"/>
      <c r="O403" s="49"/>
      <c r="P403" s="49"/>
      <c r="Q403" s="49"/>
    </row>
    <row r="404" spans="1:17" ht="19.5" customHeight="1" x14ac:dyDescent="0.3">
      <c r="A404" s="93"/>
      <c r="B404" s="43" t="s">
        <v>315</v>
      </c>
      <c r="C404" s="44" t="s">
        <v>45</v>
      </c>
      <c r="D404" s="47">
        <v>1.2</v>
      </c>
      <c r="E404" s="46" t="s">
        <v>47</v>
      </c>
      <c r="F404" s="47">
        <v>1.25</v>
      </c>
      <c r="G404" s="46" t="s">
        <v>48</v>
      </c>
      <c r="H404" s="57">
        <v>0.9</v>
      </c>
      <c r="I404" s="48">
        <v>10</v>
      </c>
      <c r="J404" s="49">
        <f>ROUND((4479*$T$1),0)*1.05</f>
        <v>4702.95</v>
      </c>
      <c r="K404" s="49">
        <f>ROUND((4977*$T$1),0)*1.05</f>
        <v>5225.8500000000004</v>
      </c>
      <c r="L404" s="49">
        <f>ROUND((5043*$T$1),0)*1.05</f>
        <v>5295.1500000000005</v>
      </c>
      <c r="M404" s="49">
        <f>ROUND((5119*$T$1),0)*1.05</f>
        <v>5374.95</v>
      </c>
      <c r="N404" s="49">
        <f>ROUND((5195*$T$1),0)*1.05</f>
        <v>5454.75</v>
      </c>
      <c r="O404" s="49">
        <f>ROUND((5241*$T$1),0)*1.05</f>
        <v>5503.05</v>
      </c>
      <c r="P404" s="49">
        <f>ROUND((5377*$T$1),0)*1.05</f>
        <v>5645.85</v>
      </c>
      <c r="Q404" s="49">
        <f>ROUND((5606*$T$1),0)*1.05</f>
        <v>5886.3</v>
      </c>
    </row>
    <row r="405" spans="1:17" ht="19.5" customHeight="1" x14ac:dyDescent="0.3">
      <c r="A405" s="42"/>
      <c r="B405" s="43" t="s">
        <v>316</v>
      </c>
      <c r="C405" s="44" t="s">
        <v>45</v>
      </c>
      <c r="D405" s="47">
        <v>1.1000000000000001</v>
      </c>
      <c r="E405" s="46" t="s">
        <v>47</v>
      </c>
      <c r="F405" s="47">
        <v>1.25</v>
      </c>
      <c r="G405" s="46" t="s">
        <v>48</v>
      </c>
      <c r="H405" s="57">
        <v>0.9</v>
      </c>
      <c r="I405" s="48">
        <v>9.8000000000000007</v>
      </c>
      <c r="J405" s="49">
        <f>ROUND((4368*$T$1),0)*1.05</f>
        <v>4586.4000000000005</v>
      </c>
      <c r="K405" s="49">
        <f>ROUND((4853*$T$1),0)*1.05</f>
        <v>5095.6500000000005</v>
      </c>
      <c r="L405" s="49">
        <f>ROUND((4916*$T$1),0)*1.05</f>
        <v>5161.8</v>
      </c>
      <c r="M405" s="49">
        <f>ROUND((4991*$T$1),0)*1.05</f>
        <v>5240.55</v>
      </c>
      <c r="N405" s="49">
        <f>ROUND((5065*$T$1),0)*1.05</f>
        <v>5318.25</v>
      </c>
      <c r="O405" s="49">
        <f>ROUND((5109*$T$1),0)*1.05</f>
        <v>5364.45</v>
      </c>
      <c r="P405" s="49">
        <f>ROUND((5243*$T$1),0)*1.05</f>
        <v>5505.1500000000005</v>
      </c>
      <c r="Q405" s="49">
        <f>ROUND((5466*$T$1),0)*1.05</f>
        <v>5739.3</v>
      </c>
    </row>
    <row r="406" spans="1:17" ht="19.5" customHeight="1" x14ac:dyDescent="0.3">
      <c r="A406" s="42"/>
      <c r="B406" s="43" t="s">
        <v>317</v>
      </c>
      <c r="C406" s="44" t="s">
        <v>45</v>
      </c>
      <c r="D406" s="47">
        <v>1</v>
      </c>
      <c r="E406" s="46" t="s">
        <v>47</v>
      </c>
      <c r="F406" s="47">
        <v>1.25</v>
      </c>
      <c r="G406" s="46" t="s">
        <v>48</v>
      </c>
      <c r="H406" s="57">
        <v>0.9</v>
      </c>
      <c r="I406" s="48">
        <v>9.6</v>
      </c>
      <c r="J406" s="49">
        <f>ROUND((4258*$T$1),0)*1.05</f>
        <v>4470.9000000000005</v>
      </c>
      <c r="K406" s="49">
        <f>ROUND((4731*$T$1),0)*1.05</f>
        <v>4967.55</v>
      </c>
      <c r="L406" s="49">
        <f>ROUND((4793*$T$1),0)*1.05</f>
        <v>5032.6500000000005</v>
      </c>
      <c r="M406" s="49">
        <f>ROUND((4866*$T$1),0)*1.05</f>
        <v>5109.3</v>
      </c>
      <c r="N406" s="49">
        <f>ROUND((4938*$T$1),0)*1.05</f>
        <v>5184.9000000000005</v>
      </c>
      <c r="O406" s="49">
        <f>ROUND((4982*$T$1),0)*1.05</f>
        <v>5231.1000000000004</v>
      </c>
      <c r="P406" s="49">
        <f>ROUND((5112*$T$1),0)*1.05</f>
        <v>5367.6</v>
      </c>
      <c r="Q406" s="49">
        <f>ROUND((5329*$T$1),0)*1.05</f>
        <v>5595.45</v>
      </c>
    </row>
    <row r="407" spans="1:17" ht="19.5" customHeight="1" x14ac:dyDescent="0.3">
      <c r="A407" s="42"/>
      <c r="B407" s="44"/>
      <c r="C407" s="44"/>
      <c r="D407" s="47"/>
      <c r="E407" s="46"/>
      <c r="F407" s="47"/>
      <c r="G407" s="46"/>
      <c r="H407" s="57"/>
      <c r="I407" s="48"/>
      <c r="J407" s="49"/>
      <c r="K407" s="49"/>
      <c r="L407" s="49"/>
      <c r="M407" s="49"/>
      <c r="N407" s="49"/>
      <c r="O407" s="49"/>
      <c r="P407" s="49"/>
      <c r="Q407" s="49"/>
    </row>
    <row r="408" spans="1:17" ht="19.5" customHeight="1" x14ac:dyDescent="0.3">
      <c r="A408" s="93"/>
      <c r="B408" s="43" t="s">
        <v>318</v>
      </c>
      <c r="C408" s="44" t="s">
        <v>45</v>
      </c>
      <c r="D408" s="47">
        <v>1.4</v>
      </c>
      <c r="E408" s="46" t="s">
        <v>47</v>
      </c>
      <c r="F408" s="47">
        <v>1.65</v>
      </c>
      <c r="G408" s="46" t="s">
        <v>48</v>
      </c>
      <c r="H408" s="57">
        <v>0.9</v>
      </c>
      <c r="I408" s="48">
        <v>12</v>
      </c>
      <c r="J408" s="49">
        <f>ROUND((4960*$T$1),0)*1.05</f>
        <v>5208</v>
      </c>
      <c r="K408" s="49">
        <f>ROUND((5511*$T$1),0)*1.05</f>
        <v>5786.55</v>
      </c>
      <c r="L408" s="49">
        <f>ROUND((5591*$T$1),0)*1.05</f>
        <v>5870.55</v>
      </c>
      <c r="M408" s="49">
        <f>ROUND((5686*$T$1),0)*1.05</f>
        <v>5970.3</v>
      </c>
      <c r="N408" s="49">
        <f>ROUND((5780*$T$1),0)*1.05</f>
        <v>6069</v>
      </c>
      <c r="O408" s="49">
        <f>ROUND((5836*$T$1),0)*1.05</f>
        <v>6127.8</v>
      </c>
      <c r="P408" s="49">
        <f>ROUND((6004*$T$1),0)*1.05</f>
        <v>6304.2</v>
      </c>
      <c r="Q408" s="49">
        <f>ROUND((6286*$T$1),0)*1.05</f>
        <v>6600.3</v>
      </c>
    </row>
    <row r="409" spans="1:17" ht="19.5" customHeight="1" x14ac:dyDescent="0.3">
      <c r="A409" s="42"/>
      <c r="B409" s="43" t="s">
        <v>319</v>
      </c>
      <c r="C409" s="44" t="s">
        <v>45</v>
      </c>
      <c r="D409" s="47">
        <v>1.3</v>
      </c>
      <c r="E409" s="46" t="s">
        <v>47</v>
      </c>
      <c r="F409" s="47">
        <v>1.65</v>
      </c>
      <c r="G409" s="46" t="s">
        <v>48</v>
      </c>
      <c r="H409" s="57">
        <v>0.9</v>
      </c>
      <c r="I409" s="48">
        <v>11.7</v>
      </c>
      <c r="J409" s="49">
        <f>ROUND((4836*$T$1),0)*1.05</f>
        <v>5077.8</v>
      </c>
      <c r="K409" s="49">
        <f>ROUND((5373*$T$1),0)*1.05</f>
        <v>5641.6500000000005</v>
      </c>
      <c r="L409" s="49">
        <f>ROUND((5451*$T$1),0)*1.05</f>
        <v>5723.55</v>
      </c>
      <c r="M409" s="49">
        <f>ROUND((5543*$T$1),0)*1.05</f>
        <v>5820.1500000000005</v>
      </c>
      <c r="N409" s="49">
        <f>ROUND((5635*$T$1),0)*1.05</f>
        <v>5916.75</v>
      </c>
      <c r="O409" s="49">
        <f>ROUND((5690*$T$1),0)*1.05</f>
        <v>5974.5</v>
      </c>
      <c r="P409" s="49">
        <f>ROUND((5854*$T$1),0)*1.05</f>
        <v>6146.7</v>
      </c>
      <c r="Q409" s="49">
        <f>ROUND((6128*$T$1),0)*1.05</f>
        <v>6434.4000000000005</v>
      </c>
    </row>
    <row r="410" spans="1:17" ht="19.5" customHeight="1" x14ac:dyDescent="0.3">
      <c r="A410" s="42"/>
      <c r="B410" s="43" t="s">
        <v>320</v>
      </c>
      <c r="C410" s="44" t="s">
        <v>45</v>
      </c>
      <c r="D410" s="47">
        <v>1.2</v>
      </c>
      <c r="E410" s="46" t="s">
        <v>47</v>
      </c>
      <c r="F410" s="47">
        <v>1.65</v>
      </c>
      <c r="G410" s="46" t="s">
        <v>48</v>
      </c>
      <c r="H410" s="57">
        <v>0.9</v>
      </c>
      <c r="I410" s="48">
        <v>11.5</v>
      </c>
      <c r="J410" s="49">
        <f>ROUND((4715*$T$1),0)*1.05</f>
        <v>4950.75</v>
      </c>
      <c r="K410" s="49">
        <f>ROUND((5238*$T$1),0)*1.05</f>
        <v>5499.9000000000005</v>
      </c>
      <c r="L410" s="49">
        <f>ROUND((5315*$T$1),0)*1.05</f>
        <v>5580.75</v>
      </c>
      <c r="M410" s="49">
        <f>ROUND((5405*$T$1),0)*1.05</f>
        <v>5675.25</v>
      </c>
      <c r="N410" s="49">
        <f>ROUND((5495*$T$1),0)*1.05</f>
        <v>5769.75</v>
      </c>
      <c r="O410" s="49">
        <f>ROUND((5548*$T$1),0)*1.05</f>
        <v>5825.4000000000005</v>
      </c>
      <c r="P410" s="49">
        <f>ROUND((5707*$T$1),0)*1.05</f>
        <v>5992.35</v>
      </c>
      <c r="Q410" s="49">
        <f>ROUND((5975*$T$1),0)*1.05</f>
        <v>6273.75</v>
      </c>
    </row>
    <row r="411" spans="1:17" ht="19.5" customHeight="1" x14ac:dyDescent="0.3">
      <c r="A411" s="42"/>
      <c r="B411" s="44"/>
      <c r="C411" s="44"/>
      <c r="D411" s="47"/>
      <c r="E411" s="46"/>
      <c r="F411" s="47"/>
      <c r="G411" s="46"/>
      <c r="H411" s="57"/>
      <c r="I411" s="48"/>
      <c r="J411" s="49"/>
      <c r="K411" s="49"/>
      <c r="L411" s="49"/>
      <c r="M411" s="49"/>
      <c r="N411" s="49"/>
      <c r="O411" s="49"/>
      <c r="P411" s="49"/>
      <c r="Q411" s="49"/>
    </row>
    <row r="412" spans="1:17" ht="19.5" customHeight="1" x14ac:dyDescent="0.3">
      <c r="A412" s="42"/>
      <c r="B412" s="43" t="s">
        <v>184</v>
      </c>
      <c r="C412" s="44"/>
      <c r="D412" s="47"/>
      <c r="E412" s="46"/>
      <c r="F412" s="47"/>
      <c r="G412" s="46"/>
      <c r="H412" s="57"/>
      <c r="I412" s="48"/>
      <c r="J412" s="49"/>
      <c r="K412" s="49">
        <f>ROUND((1734*$T$1),0)*1.05</f>
        <v>1820.7</v>
      </c>
      <c r="L412" s="49"/>
      <c r="M412" s="49"/>
      <c r="N412" s="49"/>
      <c r="O412" s="49"/>
      <c r="P412" s="49"/>
      <c r="Q412" s="49"/>
    </row>
    <row r="413" spans="1:17" ht="19.5" customHeight="1" x14ac:dyDescent="0.3">
      <c r="A413" s="42"/>
      <c r="B413" s="43" t="s">
        <v>185</v>
      </c>
      <c r="C413" s="44"/>
      <c r="D413" s="47"/>
      <c r="E413" s="46"/>
      <c r="F413" s="47"/>
      <c r="G413" s="46"/>
      <c r="H413" s="57"/>
      <c r="I413" s="48"/>
      <c r="J413" s="49"/>
      <c r="K413" s="49">
        <f>ROUND((2765*$T$1),0)*1.05</f>
        <v>2903.25</v>
      </c>
      <c r="L413" s="49"/>
      <c r="M413" s="49"/>
      <c r="N413" s="49"/>
      <c r="O413" s="49"/>
      <c r="P413" s="49"/>
      <c r="Q413" s="49"/>
    </row>
    <row r="414" spans="1:17" ht="19.5" customHeight="1" x14ac:dyDescent="0.3">
      <c r="A414" s="42"/>
      <c r="B414" s="43" t="s">
        <v>186</v>
      </c>
      <c r="C414" s="44"/>
      <c r="D414" s="47"/>
      <c r="E414" s="46"/>
      <c r="F414" s="47"/>
      <c r="G414" s="46"/>
      <c r="H414" s="57"/>
      <c r="I414" s="48"/>
      <c r="J414" s="49"/>
      <c r="K414" s="49">
        <f>ROUND((3795*$T$1),0)*1.05</f>
        <v>3984.75</v>
      </c>
      <c r="L414" s="49"/>
      <c r="M414" s="49"/>
      <c r="N414" s="49"/>
      <c r="O414" s="49"/>
      <c r="P414" s="49"/>
      <c r="Q414" s="49"/>
    </row>
    <row r="415" spans="1:17" ht="19.5" customHeight="1" x14ac:dyDescent="0.3">
      <c r="A415" s="42"/>
      <c r="B415" s="43"/>
      <c r="C415" s="44"/>
      <c r="D415" s="47"/>
      <c r="E415" s="46"/>
      <c r="F415" s="47"/>
      <c r="G415" s="46"/>
      <c r="H415" s="57"/>
      <c r="I415" s="48"/>
      <c r="J415" s="49"/>
      <c r="K415" s="49"/>
      <c r="L415" s="49"/>
      <c r="M415" s="49"/>
      <c r="N415" s="49"/>
      <c r="O415" s="49"/>
      <c r="P415" s="49"/>
      <c r="Q415" s="49"/>
    </row>
    <row r="416" spans="1:17" ht="19.5" customHeight="1" x14ac:dyDescent="0.3">
      <c r="A416" s="42"/>
      <c r="B416" s="51" t="s">
        <v>187</v>
      </c>
      <c r="C416" s="44"/>
      <c r="D416" s="47"/>
      <c r="E416" s="46"/>
      <c r="F416" s="47"/>
      <c r="G416" s="46"/>
      <c r="H416" s="57"/>
      <c r="I416" s="48"/>
      <c r="J416" s="49"/>
      <c r="K416" s="49">
        <f>ROUND((220*$T$1),0)*1.05</f>
        <v>231</v>
      </c>
      <c r="L416" s="49"/>
      <c r="M416" s="49"/>
      <c r="N416" s="49"/>
      <c r="O416" s="49"/>
      <c r="P416" s="49"/>
      <c r="Q416" s="49"/>
    </row>
    <row r="417" spans="1:17" ht="19.5" customHeight="1" x14ac:dyDescent="0.3">
      <c r="A417" s="42"/>
      <c r="B417" s="51" t="s">
        <v>188</v>
      </c>
      <c r="C417" s="44"/>
      <c r="D417" s="47"/>
      <c r="E417" s="46"/>
      <c r="F417" s="47"/>
      <c r="G417" s="46"/>
      <c r="H417" s="57"/>
      <c r="I417" s="48"/>
      <c r="J417" s="49"/>
      <c r="K417" s="49">
        <f>ROUND((132*$T$1),0)*1.05</f>
        <v>138.6</v>
      </c>
      <c r="L417" s="49"/>
      <c r="M417" s="49"/>
      <c r="N417" s="49"/>
      <c r="O417" s="49"/>
      <c r="P417" s="49"/>
      <c r="Q417" s="49"/>
    </row>
    <row r="418" spans="1:17" ht="19.5" customHeight="1" x14ac:dyDescent="0.3">
      <c r="A418" s="42"/>
      <c r="B418" s="51" t="s">
        <v>189</v>
      </c>
      <c r="C418" s="44"/>
      <c r="D418" s="47"/>
      <c r="E418" s="46"/>
      <c r="F418" s="47"/>
      <c r="G418" s="46"/>
      <c r="H418" s="57"/>
      <c r="I418" s="48"/>
      <c r="J418" s="49"/>
      <c r="K418" s="49">
        <f>ROUND((132*$T$1),0)*1.05</f>
        <v>138.6</v>
      </c>
      <c r="L418" s="49"/>
      <c r="M418" s="49"/>
      <c r="N418" s="49"/>
      <c r="O418" s="49"/>
      <c r="P418" s="49"/>
      <c r="Q418" s="49"/>
    </row>
    <row r="419" spans="1:17" ht="19.5" customHeight="1" x14ac:dyDescent="0.3">
      <c r="A419" s="42"/>
      <c r="B419" s="44"/>
      <c r="C419" s="44"/>
      <c r="D419" s="47"/>
      <c r="E419" s="46"/>
      <c r="F419" s="47"/>
      <c r="G419" s="46"/>
      <c r="H419" s="57"/>
      <c r="I419" s="48"/>
      <c r="J419" s="49"/>
      <c r="K419" s="49"/>
      <c r="L419" s="49"/>
      <c r="M419" s="49"/>
      <c r="N419" s="49"/>
      <c r="O419" s="49"/>
      <c r="P419" s="49"/>
      <c r="Q419" s="49"/>
    </row>
    <row r="420" spans="1:17" ht="19.5" customHeight="1" x14ac:dyDescent="0.3">
      <c r="A420" s="42"/>
      <c r="B420" s="118" t="s">
        <v>190</v>
      </c>
      <c r="C420" s="44"/>
      <c r="D420" s="47"/>
      <c r="E420" s="46"/>
      <c r="F420" s="47"/>
      <c r="G420" s="46"/>
      <c r="H420" s="57"/>
      <c r="I420" s="48"/>
      <c r="J420" s="49"/>
      <c r="K420" s="49"/>
      <c r="L420" s="49"/>
      <c r="M420" s="49"/>
      <c r="N420" s="49"/>
      <c r="O420" s="49"/>
      <c r="P420" s="49"/>
      <c r="Q420" s="49"/>
    </row>
    <row r="421" spans="1:17" ht="19.5" customHeight="1" x14ac:dyDescent="0.3">
      <c r="A421" s="42"/>
      <c r="B421" s="44"/>
      <c r="C421" s="44"/>
      <c r="D421" s="47"/>
      <c r="E421" s="46"/>
      <c r="F421" s="47"/>
      <c r="G421" s="46"/>
      <c r="H421" s="57"/>
      <c r="I421" s="48"/>
      <c r="J421" s="49"/>
      <c r="K421" s="49"/>
      <c r="L421" s="49"/>
      <c r="M421" s="49"/>
      <c r="N421" s="49"/>
      <c r="O421" s="49"/>
      <c r="P421" s="49"/>
      <c r="Q421" s="49"/>
    </row>
    <row r="422" spans="1:17" ht="19.5" customHeight="1" x14ac:dyDescent="0.3">
      <c r="A422" s="93"/>
      <c r="B422" s="43" t="s">
        <v>321</v>
      </c>
      <c r="C422" s="44" t="s">
        <v>45</v>
      </c>
      <c r="D422" s="47">
        <v>1.4</v>
      </c>
      <c r="E422" s="46" t="s">
        <v>47</v>
      </c>
      <c r="F422" s="47">
        <v>1.25</v>
      </c>
      <c r="G422" s="46" t="s">
        <v>48</v>
      </c>
      <c r="H422" s="57">
        <v>0.9</v>
      </c>
      <c r="I422" s="48">
        <v>11</v>
      </c>
      <c r="J422" s="49">
        <f>ROUND((4697*$T$1),0)*1.05</f>
        <v>4931.8500000000004</v>
      </c>
      <c r="K422" s="49">
        <f>ROUND((5219*$T$1),0)*1.05</f>
        <v>5479.95</v>
      </c>
      <c r="L422" s="49">
        <f>ROUND((5292*$T$1),0)*1.05</f>
        <v>5556.6</v>
      </c>
      <c r="M422" s="49">
        <f>ROUND((5377*$T$1),0)*1.05</f>
        <v>5645.85</v>
      </c>
      <c r="N422" s="49">
        <f>ROUND((5464*$T$1),0)*1.05</f>
        <v>5737.2</v>
      </c>
      <c r="O422" s="49">
        <f>ROUND((5514*$T$1),0)*1.05</f>
        <v>5789.7</v>
      </c>
      <c r="P422" s="49">
        <f>ROUND((5668*$T$1),0)*1.05</f>
        <v>5951.4000000000005</v>
      </c>
      <c r="Q422" s="49">
        <f>ROUND((5925*$T$1),0)*1.05</f>
        <v>6221.25</v>
      </c>
    </row>
    <row r="423" spans="1:17" ht="19.5" customHeight="1" x14ac:dyDescent="0.3">
      <c r="A423" s="42"/>
      <c r="B423" s="43" t="s">
        <v>322</v>
      </c>
      <c r="C423" s="44" t="s">
        <v>45</v>
      </c>
      <c r="D423" s="47">
        <v>1.3</v>
      </c>
      <c r="E423" s="46" t="s">
        <v>47</v>
      </c>
      <c r="F423" s="47">
        <v>1.25</v>
      </c>
      <c r="G423" s="46" t="s">
        <v>48</v>
      </c>
      <c r="H423" s="57">
        <v>0.9</v>
      </c>
      <c r="I423" s="48">
        <v>10.8</v>
      </c>
      <c r="J423" s="49">
        <f>ROUND((4579*$T$1),0)*1.05</f>
        <v>4807.95</v>
      </c>
      <c r="K423" s="49">
        <f>ROUND((5089*$T$1),0)*1.05</f>
        <v>5343.45</v>
      </c>
      <c r="L423" s="49">
        <f>ROUND((5160*$T$1),0)*1.05</f>
        <v>5418</v>
      </c>
      <c r="M423" s="49">
        <f>ROUND((5243*$T$1),0)*1.05</f>
        <v>5505.1500000000005</v>
      </c>
      <c r="N423" s="49">
        <f>ROUND((5327*$T$1),0)*1.05</f>
        <v>5593.35</v>
      </c>
      <c r="O423" s="49">
        <f>ROUND((5376*$T$1),0)*1.05</f>
        <v>5644.8</v>
      </c>
      <c r="P423" s="49">
        <f>ROUND((5527*$T$1),0)*1.05</f>
        <v>5803.35</v>
      </c>
      <c r="Q423" s="49">
        <f>ROUND((5776*$T$1),0)*1.05</f>
        <v>6064.8</v>
      </c>
    </row>
    <row r="424" spans="1:17" ht="19.5" customHeight="1" x14ac:dyDescent="0.3">
      <c r="A424" s="42"/>
      <c r="B424" s="43" t="s">
        <v>323</v>
      </c>
      <c r="C424" s="44" t="s">
        <v>45</v>
      </c>
      <c r="D424" s="47">
        <v>1.2</v>
      </c>
      <c r="E424" s="46" t="s">
        <v>47</v>
      </c>
      <c r="F424" s="47">
        <v>1.25</v>
      </c>
      <c r="G424" s="46" t="s">
        <v>48</v>
      </c>
      <c r="H424" s="57">
        <v>0.9</v>
      </c>
      <c r="I424" s="48">
        <v>10.6</v>
      </c>
      <c r="J424" s="49">
        <f>ROUND((4465*$T$1),0)*1.05</f>
        <v>4688.25</v>
      </c>
      <c r="K424" s="49">
        <f>ROUND((4961*$T$1),0)*1.05</f>
        <v>5209.05</v>
      </c>
      <c r="L424" s="49">
        <f>ROUND((5031*$T$1),0)*1.05</f>
        <v>5282.55</v>
      </c>
      <c r="M424" s="49">
        <f>ROUND((5112*$T$1),0)*1.05</f>
        <v>5367.6</v>
      </c>
      <c r="N424" s="49">
        <f>ROUND((5193*$T$1),0)*1.05</f>
        <v>5452.6500000000005</v>
      </c>
      <c r="O424" s="49">
        <f>ROUND((5242*$T$1),0)*1.05</f>
        <v>5504.1</v>
      </c>
      <c r="P424" s="49">
        <f>ROUND((5389*$T$1),0)*1.05</f>
        <v>5658.45</v>
      </c>
      <c r="Q424" s="49">
        <f>ROUND((5633*$T$1),0)*1.05</f>
        <v>5914.6500000000005</v>
      </c>
    </row>
    <row r="425" spans="1:17" ht="19.5" customHeight="1" x14ac:dyDescent="0.3">
      <c r="A425" s="42"/>
      <c r="B425" s="94"/>
      <c r="C425" s="44"/>
      <c r="D425" s="47"/>
      <c r="E425" s="46"/>
      <c r="F425" s="47"/>
      <c r="G425" s="46"/>
      <c r="H425" s="57"/>
      <c r="I425" s="48"/>
      <c r="J425" s="49"/>
      <c r="K425" s="49"/>
      <c r="L425" s="49"/>
      <c r="M425" s="49"/>
      <c r="N425" s="49"/>
      <c r="O425" s="49"/>
      <c r="P425" s="49"/>
      <c r="Q425" s="49"/>
    </row>
    <row r="426" spans="1:17" ht="19.5" customHeight="1" x14ac:dyDescent="0.3">
      <c r="A426" s="93"/>
      <c r="B426" s="43" t="s">
        <v>324</v>
      </c>
      <c r="C426" s="44" t="s">
        <v>45</v>
      </c>
      <c r="D426" s="47">
        <v>1.2</v>
      </c>
      <c r="E426" s="46" t="s">
        <v>47</v>
      </c>
      <c r="F426" s="47">
        <v>1.25</v>
      </c>
      <c r="G426" s="46" t="s">
        <v>48</v>
      </c>
      <c r="H426" s="57">
        <v>0.9</v>
      </c>
      <c r="I426" s="48">
        <v>10</v>
      </c>
      <c r="J426" s="49">
        <f>ROUND((4479*$T$1),0)*1.05</f>
        <v>4702.95</v>
      </c>
      <c r="K426" s="49">
        <f>ROUND((4977*$T$1),0)*1.05</f>
        <v>5225.8500000000004</v>
      </c>
      <c r="L426" s="49">
        <f>ROUND((5043*$T$1),0)*1.05</f>
        <v>5295.1500000000005</v>
      </c>
      <c r="M426" s="49">
        <f>ROUND((5119*$T$1),0)*1.05</f>
        <v>5374.95</v>
      </c>
      <c r="N426" s="49">
        <f>ROUND((5195*$T$1),0)*1.05</f>
        <v>5454.75</v>
      </c>
      <c r="O426" s="49">
        <f>ROUND((5241*$T$1),0)*1.05</f>
        <v>5503.05</v>
      </c>
      <c r="P426" s="49">
        <f>ROUND((5377*$T$1),0)*1.05</f>
        <v>5645.85</v>
      </c>
      <c r="Q426" s="49">
        <f>ROUND((5606*$T$1),0)*1.05</f>
        <v>5886.3</v>
      </c>
    </row>
    <row r="427" spans="1:17" ht="19.5" customHeight="1" x14ac:dyDescent="0.3">
      <c r="A427" s="42"/>
      <c r="B427" s="43" t="s">
        <v>325</v>
      </c>
      <c r="C427" s="44" t="s">
        <v>45</v>
      </c>
      <c r="D427" s="47">
        <v>1.1000000000000001</v>
      </c>
      <c r="E427" s="46" t="s">
        <v>47</v>
      </c>
      <c r="F427" s="47">
        <v>1.25</v>
      </c>
      <c r="G427" s="46" t="s">
        <v>48</v>
      </c>
      <c r="H427" s="57">
        <v>0.9</v>
      </c>
      <c r="I427" s="48">
        <v>9.8000000000000007</v>
      </c>
      <c r="J427" s="49">
        <f>ROUND((4368*$T$1),0)*1.05</f>
        <v>4586.4000000000005</v>
      </c>
      <c r="K427" s="49">
        <f>ROUND((4853*$T$1),0)*1.05</f>
        <v>5095.6500000000005</v>
      </c>
      <c r="L427" s="49">
        <f>ROUND((4916*$T$1),0)*1.05</f>
        <v>5161.8</v>
      </c>
      <c r="M427" s="49">
        <f>ROUND((4991*$T$1),0)*1.05</f>
        <v>5240.55</v>
      </c>
      <c r="N427" s="49">
        <f>ROUND((5065*$T$1),0)*1.05</f>
        <v>5318.25</v>
      </c>
      <c r="O427" s="49">
        <f>ROUND((5109*$T$1),0)*1.05</f>
        <v>5364.45</v>
      </c>
      <c r="P427" s="49">
        <f>ROUND((5243*$T$1),0)*1.05</f>
        <v>5505.1500000000005</v>
      </c>
      <c r="Q427" s="49">
        <f>ROUND((5466*$T$1),0)*1.05</f>
        <v>5739.3</v>
      </c>
    </row>
    <row r="428" spans="1:17" ht="19.5" customHeight="1" x14ac:dyDescent="0.3">
      <c r="A428" s="42"/>
      <c r="B428" s="43" t="s">
        <v>326</v>
      </c>
      <c r="C428" s="44" t="s">
        <v>45</v>
      </c>
      <c r="D428" s="47">
        <v>1</v>
      </c>
      <c r="E428" s="46" t="s">
        <v>47</v>
      </c>
      <c r="F428" s="47">
        <v>1.25</v>
      </c>
      <c r="G428" s="46" t="s">
        <v>48</v>
      </c>
      <c r="H428" s="57">
        <v>0.9</v>
      </c>
      <c r="I428" s="48">
        <v>9.6</v>
      </c>
      <c r="J428" s="49">
        <f>ROUND((4258*$T$1),0)*1.05</f>
        <v>4470.9000000000005</v>
      </c>
      <c r="K428" s="49">
        <f>ROUND((4731*$T$1),0)*1.05</f>
        <v>4967.55</v>
      </c>
      <c r="L428" s="49">
        <f>ROUND((4793*$T$1),0)*1.05</f>
        <v>5032.6500000000005</v>
      </c>
      <c r="M428" s="49">
        <f>ROUND((4866*$T$1),0)*1.05</f>
        <v>5109.3</v>
      </c>
      <c r="N428" s="49">
        <f>ROUND((4938*$T$1),0)*1.05</f>
        <v>5184.9000000000005</v>
      </c>
      <c r="O428" s="49">
        <f>ROUND((4982*$T$1),0)*1.05</f>
        <v>5231.1000000000004</v>
      </c>
      <c r="P428" s="49">
        <f>ROUND((5112*$T$1),0)*1.05</f>
        <v>5367.6</v>
      </c>
      <c r="Q428" s="49">
        <f>ROUND((5329*$T$1),0)*1.05</f>
        <v>5595.45</v>
      </c>
    </row>
    <row r="429" spans="1:17" ht="19.5" customHeight="1" x14ac:dyDescent="0.3">
      <c r="A429" s="42"/>
      <c r="B429" s="43"/>
      <c r="C429" s="44"/>
      <c r="D429" s="47"/>
      <c r="E429" s="46"/>
      <c r="F429" s="47"/>
      <c r="G429" s="46"/>
      <c r="H429" s="57"/>
      <c r="I429" s="48"/>
      <c r="J429" s="49"/>
      <c r="K429" s="49"/>
      <c r="L429" s="49"/>
      <c r="M429" s="49"/>
      <c r="N429" s="49"/>
      <c r="O429" s="49"/>
      <c r="P429" s="49"/>
      <c r="Q429" s="49"/>
    </row>
    <row r="430" spans="1:17" ht="19.5" customHeight="1" x14ac:dyDescent="0.3">
      <c r="A430" s="93"/>
      <c r="B430" s="43" t="s">
        <v>327</v>
      </c>
      <c r="C430" s="44" t="s">
        <v>45</v>
      </c>
      <c r="D430" s="47">
        <v>1.4</v>
      </c>
      <c r="E430" s="46" t="s">
        <v>47</v>
      </c>
      <c r="F430" s="47">
        <v>1.65</v>
      </c>
      <c r="G430" s="46" t="s">
        <v>48</v>
      </c>
      <c r="H430" s="57">
        <v>0.9</v>
      </c>
      <c r="I430" s="48">
        <v>12</v>
      </c>
      <c r="J430" s="49">
        <f>ROUND((4960*$T$1),0)*1.05</f>
        <v>5208</v>
      </c>
      <c r="K430" s="49">
        <f>ROUND((5511*$T$1),0)*1.05</f>
        <v>5786.55</v>
      </c>
      <c r="L430" s="49">
        <f>ROUND((5591*$T$1),0)*1.05</f>
        <v>5870.55</v>
      </c>
      <c r="M430" s="49">
        <f>ROUND((5686*$T$1),0)*1.05</f>
        <v>5970.3</v>
      </c>
      <c r="N430" s="49">
        <f>ROUND((5780*$T$1),0)*1.05</f>
        <v>6069</v>
      </c>
      <c r="O430" s="49">
        <f>ROUND((5836*$T$1),0)*1.05</f>
        <v>6127.8</v>
      </c>
      <c r="P430" s="49">
        <f>ROUND((6004*$T$1),0)*1.05</f>
        <v>6304.2</v>
      </c>
      <c r="Q430" s="49">
        <f>ROUND((6286*$T$1),0)*1.05</f>
        <v>6600.3</v>
      </c>
    </row>
    <row r="431" spans="1:17" ht="19.5" customHeight="1" x14ac:dyDescent="0.3">
      <c r="A431" s="42"/>
      <c r="B431" s="43" t="s">
        <v>328</v>
      </c>
      <c r="C431" s="44" t="s">
        <v>45</v>
      </c>
      <c r="D431" s="47">
        <v>1.3</v>
      </c>
      <c r="E431" s="46" t="s">
        <v>47</v>
      </c>
      <c r="F431" s="47">
        <v>1.65</v>
      </c>
      <c r="G431" s="46" t="s">
        <v>48</v>
      </c>
      <c r="H431" s="57">
        <v>0.9</v>
      </c>
      <c r="I431" s="48">
        <v>11.7</v>
      </c>
      <c r="J431" s="49">
        <f>ROUND((4836*$T$1),0)*1.05</f>
        <v>5077.8</v>
      </c>
      <c r="K431" s="49">
        <f>ROUND((5373*$T$1),0)*1.05</f>
        <v>5641.6500000000005</v>
      </c>
      <c r="L431" s="49">
        <f>ROUND((5451*$T$1),0)*1.05</f>
        <v>5723.55</v>
      </c>
      <c r="M431" s="49">
        <f>ROUND((5543*$T$1),0)*1.05</f>
        <v>5820.1500000000005</v>
      </c>
      <c r="N431" s="49">
        <f>ROUND((5635*$T$1),0)*1.05</f>
        <v>5916.75</v>
      </c>
      <c r="O431" s="49">
        <f>ROUND((5690*$T$1),0)*1.05</f>
        <v>5974.5</v>
      </c>
      <c r="P431" s="49">
        <f>ROUND((5854*$T$1),0)*1.05</f>
        <v>6146.7</v>
      </c>
      <c r="Q431" s="49">
        <f>ROUND((6128*$T$1),0)*1.05</f>
        <v>6434.4000000000005</v>
      </c>
    </row>
    <row r="432" spans="1:17" ht="19.5" customHeight="1" x14ac:dyDescent="0.3">
      <c r="A432" s="42"/>
      <c r="B432" s="43" t="s">
        <v>329</v>
      </c>
      <c r="C432" s="44" t="s">
        <v>45</v>
      </c>
      <c r="D432" s="47">
        <v>1.2</v>
      </c>
      <c r="E432" s="46" t="s">
        <v>47</v>
      </c>
      <c r="F432" s="47">
        <v>1.65</v>
      </c>
      <c r="G432" s="46" t="s">
        <v>48</v>
      </c>
      <c r="H432" s="57">
        <v>0.9</v>
      </c>
      <c r="I432" s="48">
        <v>11.5</v>
      </c>
      <c r="J432" s="49">
        <f>ROUND((4715*$T$1),0)*1.05</f>
        <v>4950.75</v>
      </c>
      <c r="K432" s="49">
        <f>ROUND((5238*$T$1),0)*1.05</f>
        <v>5499.9000000000005</v>
      </c>
      <c r="L432" s="49">
        <f>ROUND((5315*$T$1),0)*1.05</f>
        <v>5580.75</v>
      </c>
      <c r="M432" s="49">
        <f>ROUND((5405*$T$1),0)*1.05</f>
        <v>5675.25</v>
      </c>
      <c r="N432" s="49">
        <f>ROUND((5495*$T$1),0)*1.05</f>
        <v>5769.75</v>
      </c>
      <c r="O432" s="49">
        <f>ROUND((5548*$T$1),0)*1.05</f>
        <v>5825.4000000000005</v>
      </c>
      <c r="P432" s="49">
        <f>ROUND((5707*$T$1),0)*1.05</f>
        <v>5992.35</v>
      </c>
      <c r="Q432" s="49">
        <f>ROUND((5975*$T$1),0)*1.05</f>
        <v>6273.75</v>
      </c>
    </row>
    <row r="433" spans="1:17" ht="19.5" customHeight="1" x14ac:dyDescent="0.3">
      <c r="A433" s="42"/>
      <c r="B433" s="43"/>
      <c r="C433" s="44"/>
      <c r="D433" s="47"/>
      <c r="E433" s="46"/>
      <c r="F433" s="47"/>
      <c r="G433" s="46"/>
      <c r="H433" s="57"/>
      <c r="I433" s="48"/>
      <c r="J433" s="49"/>
      <c r="K433" s="49"/>
      <c r="L433" s="49"/>
      <c r="M433" s="49"/>
      <c r="N433" s="49"/>
      <c r="O433" s="49"/>
      <c r="P433" s="49"/>
      <c r="Q433" s="49"/>
    </row>
    <row r="434" spans="1:17" ht="19.5" customHeight="1" x14ac:dyDescent="0.3">
      <c r="A434" s="42"/>
      <c r="B434" s="50" t="s">
        <v>330</v>
      </c>
      <c r="C434" s="44" t="s">
        <v>45</v>
      </c>
      <c r="D434" s="47">
        <v>1.9</v>
      </c>
      <c r="E434" s="46" t="s">
        <v>47</v>
      </c>
      <c r="F434" s="47">
        <v>1.25</v>
      </c>
      <c r="G434" s="46" t="s">
        <v>48</v>
      </c>
      <c r="H434" s="57">
        <v>0.9</v>
      </c>
      <c r="I434" s="48">
        <v>10</v>
      </c>
      <c r="J434" s="49">
        <f>ROUND((4686*$T$1),0)*1.05</f>
        <v>4920.3</v>
      </c>
      <c r="K434" s="49">
        <f>ROUND((5207*$T$1),0)*1.05</f>
        <v>5467.35</v>
      </c>
      <c r="L434" s="49">
        <f>ROUND((5275*$T$1),0)*1.05</f>
        <v>5538.75</v>
      </c>
      <c r="M434" s="49">
        <f>ROUND((5352*$T$1),0)*1.05</f>
        <v>5619.6</v>
      </c>
      <c r="N434" s="49">
        <f>ROUND((5430*$T$1),0)*1.05</f>
        <v>5701.5</v>
      </c>
      <c r="O434" s="49">
        <f>ROUND((5476*$T$1),0)*1.05</f>
        <v>5749.8</v>
      </c>
      <c r="P434" s="49">
        <f>ROUND((5617*$T$1),0)*1.05</f>
        <v>5897.85</v>
      </c>
      <c r="Q434" s="49">
        <f>ROUND((5850*$T$1),0)*1.05</f>
        <v>6142.5</v>
      </c>
    </row>
    <row r="435" spans="1:17" ht="19.5" customHeight="1" x14ac:dyDescent="0.3">
      <c r="A435" s="42"/>
      <c r="B435" s="50" t="s">
        <v>331</v>
      </c>
      <c r="C435" s="44" t="s">
        <v>45</v>
      </c>
      <c r="D435" s="47">
        <v>1.8</v>
      </c>
      <c r="E435" s="46" t="s">
        <v>47</v>
      </c>
      <c r="F435" s="47">
        <v>1.25</v>
      </c>
      <c r="G435" s="46" t="s">
        <v>48</v>
      </c>
      <c r="H435" s="57">
        <v>0.9</v>
      </c>
      <c r="I435" s="48">
        <v>9.8000000000000007</v>
      </c>
      <c r="J435" s="49">
        <f>ROUND((4569*$T$1),0)*1.05</f>
        <v>4797.45</v>
      </c>
      <c r="K435" s="49">
        <f>ROUND((5077*$T$1),0)*1.05</f>
        <v>5330.85</v>
      </c>
      <c r="L435" s="49">
        <f>ROUND((5143*$T$1),0)*1.05</f>
        <v>5400.1500000000005</v>
      </c>
      <c r="M435" s="49">
        <f>ROUND((5219*$T$1),0)*1.05</f>
        <v>5479.95</v>
      </c>
      <c r="N435" s="49">
        <f>ROUND((5295*$T$1),0)*1.05</f>
        <v>5559.75</v>
      </c>
      <c r="O435" s="49">
        <f>ROUND((5339*$T$1),0)*1.05</f>
        <v>5605.95</v>
      </c>
      <c r="P435" s="49">
        <f>ROUND((5476*$T$1),0)*1.05</f>
        <v>5749.8</v>
      </c>
      <c r="Q435" s="49">
        <f>ROUND((5704*$T$1),0)*1.05</f>
        <v>5989.2</v>
      </c>
    </row>
    <row r="436" spans="1:17" ht="19.5" customHeight="1" x14ac:dyDescent="0.3">
      <c r="A436" s="42"/>
      <c r="B436" s="50" t="s">
        <v>332</v>
      </c>
      <c r="C436" s="44" t="s">
        <v>45</v>
      </c>
      <c r="D436" s="47">
        <v>1.7</v>
      </c>
      <c r="E436" s="46" t="s">
        <v>47</v>
      </c>
      <c r="F436" s="47">
        <v>1.25</v>
      </c>
      <c r="G436" s="46" t="s">
        <v>48</v>
      </c>
      <c r="H436" s="57">
        <v>0.9</v>
      </c>
      <c r="I436" s="48">
        <v>9.6</v>
      </c>
      <c r="J436" s="49">
        <f>ROUND((4455*$T$1),0)*1.05</f>
        <v>4677.75</v>
      </c>
      <c r="K436" s="49">
        <f>ROUND((4950*$T$1),0)*1.05</f>
        <v>5197.5</v>
      </c>
      <c r="L436" s="49">
        <f>ROUND((5015*$T$1),0)*1.05</f>
        <v>5265.75</v>
      </c>
      <c r="M436" s="49">
        <f>ROUND((5088*$T$1),0)*1.05</f>
        <v>5342.4000000000005</v>
      </c>
      <c r="N436" s="49">
        <f>ROUND((5162*$T$1),0)*1.05</f>
        <v>5420.1</v>
      </c>
      <c r="O436" s="49">
        <f>ROUND((5206*$T$1),0)*1.05</f>
        <v>5466.3</v>
      </c>
      <c r="P436" s="49">
        <f>ROUND((5339*$T$1),0)*1.05</f>
        <v>5605.95</v>
      </c>
      <c r="Q436" s="49">
        <f>ROUND((5561*$T$1),0)*1.05</f>
        <v>5839.05</v>
      </c>
    </row>
    <row r="437" spans="1:17" ht="19.5" customHeight="1" x14ac:dyDescent="0.3">
      <c r="A437" s="42"/>
      <c r="B437" s="50" t="s">
        <v>333</v>
      </c>
      <c r="C437" s="44" t="s">
        <v>45</v>
      </c>
      <c r="D437" s="47">
        <v>1.27</v>
      </c>
      <c r="E437" s="46" t="s">
        <v>47</v>
      </c>
      <c r="F437" s="47">
        <v>1.27</v>
      </c>
      <c r="G437" s="46" t="s">
        <v>48</v>
      </c>
      <c r="H437" s="57">
        <v>0.9</v>
      </c>
      <c r="I437" s="48">
        <v>10</v>
      </c>
      <c r="J437" s="49">
        <f>ROUND((4298*$T$1),0)*1.05</f>
        <v>4512.9000000000005</v>
      </c>
      <c r="K437" s="49">
        <f>ROUND((4775*$T$1),0)*1.05</f>
        <v>5013.75</v>
      </c>
      <c r="L437" s="49">
        <f>ROUND((4838*$T$1),0)*1.05</f>
        <v>5079.9000000000005</v>
      </c>
      <c r="M437" s="49">
        <f>ROUND((4911*$T$1),0)*1.05</f>
        <v>5156.55</v>
      </c>
      <c r="N437" s="49">
        <f>ROUND((4983*$T$1),0)*1.05</f>
        <v>5232.1500000000005</v>
      </c>
      <c r="O437" s="49">
        <f>ROUND((5027*$T$1),0)*1.05</f>
        <v>5278.35</v>
      </c>
      <c r="P437" s="49">
        <f>ROUND((5158*$T$1),0)*1.05</f>
        <v>5415.9000000000005</v>
      </c>
      <c r="Q437" s="49">
        <f>ROUND((5376*$T$1),0)*1.05</f>
        <v>5644.8</v>
      </c>
    </row>
    <row r="438" spans="1:17" ht="19.5" customHeight="1" x14ac:dyDescent="0.3">
      <c r="A438" s="42"/>
      <c r="B438" s="44"/>
      <c r="C438" s="44"/>
      <c r="D438" s="47"/>
      <c r="E438" s="46"/>
      <c r="F438" s="47"/>
      <c r="G438" s="46"/>
      <c r="H438" s="57"/>
      <c r="I438" s="48"/>
      <c r="J438" s="49"/>
      <c r="K438" s="49"/>
      <c r="L438" s="49"/>
      <c r="M438" s="49"/>
      <c r="N438" s="49"/>
      <c r="O438" s="49"/>
      <c r="P438" s="49"/>
      <c r="Q438" s="49"/>
    </row>
    <row r="439" spans="1:17" ht="19.5" customHeight="1" x14ac:dyDescent="0.3">
      <c r="A439" s="42"/>
      <c r="B439" s="95" t="s">
        <v>334</v>
      </c>
      <c r="C439" s="106"/>
      <c r="D439" s="88"/>
      <c r="E439" s="88"/>
      <c r="F439" s="88"/>
      <c r="G439" s="88"/>
      <c r="H439" s="88"/>
      <c r="I439" s="88"/>
      <c r="J439" s="120"/>
      <c r="K439" s="120"/>
      <c r="L439" s="120"/>
      <c r="M439" s="120"/>
      <c r="N439" s="120"/>
      <c r="O439" s="120"/>
      <c r="P439" s="120"/>
      <c r="Q439" s="120"/>
    </row>
    <row r="440" spans="1:17" ht="19.5" customHeight="1" x14ac:dyDescent="0.3">
      <c r="A440" s="93"/>
      <c r="B440" s="95" t="s">
        <v>335</v>
      </c>
      <c r="C440" s="121"/>
      <c r="D440" s="121"/>
      <c r="E440" s="121"/>
      <c r="F440" s="121"/>
      <c r="G440" s="121"/>
      <c r="H440" s="121"/>
      <c r="I440" s="121"/>
      <c r="J440" s="122"/>
      <c r="K440" s="122"/>
      <c r="L440" s="122"/>
      <c r="M440" s="122"/>
      <c r="N440" s="122"/>
      <c r="O440" s="122"/>
      <c r="P440" s="122"/>
      <c r="Q440" s="122"/>
    </row>
    <row r="441" spans="1:17" ht="19.5" customHeight="1" x14ac:dyDescent="0.3">
      <c r="A441" s="42"/>
      <c r="B441" s="95"/>
      <c r="C441" s="95"/>
      <c r="D441" s="95"/>
      <c r="E441" s="95"/>
      <c r="F441" s="95"/>
      <c r="G441" s="95"/>
      <c r="H441" s="95"/>
      <c r="I441" s="95"/>
      <c r="J441" s="96"/>
      <c r="K441" s="96"/>
      <c r="L441" s="96"/>
      <c r="M441" s="96"/>
      <c r="N441" s="96"/>
      <c r="O441" s="96"/>
      <c r="P441" s="96"/>
      <c r="Q441" s="96"/>
    </row>
    <row r="442" spans="1:17" ht="19.5" customHeight="1" x14ac:dyDescent="0.35">
      <c r="A442" s="86"/>
      <c r="B442" s="92" t="s">
        <v>123</v>
      </c>
      <c r="C442" s="95"/>
      <c r="D442" s="95"/>
      <c r="E442" s="95"/>
      <c r="F442" s="95"/>
      <c r="G442" s="95"/>
      <c r="H442" s="95"/>
      <c r="I442" s="95"/>
      <c r="J442" s="96"/>
      <c r="K442" s="96"/>
      <c r="L442" s="96"/>
      <c r="M442" s="96"/>
      <c r="N442" s="96"/>
      <c r="O442" s="96"/>
      <c r="P442" s="96"/>
      <c r="Q442" s="96"/>
    </row>
    <row r="443" spans="1:17" ht="19.5" customHeight="1" x14ac:dyDescent="0.3">
      <c r="A443" s="42"/>
      <c r="B443" s="97"/>
      <c r="C443" s="98"/>
      <c r="D443" s="99"/>
      <c r="E443" s="99"/>
      <c r="F443" s="99"/>
      <c r="G443" s="99"/>
      <c r="H443" s="99"/>
      <c r="I443" s="100"/>
      <c r="J443" s="101"/>
      <c r="K443" s="101"/>
      <c r="L443" s="101"/>
      <c r="M443" s="101"/>
      <c r="N443" s="101"/>
      <c r="O443" s="101"/>
      <c r="P443" s="101"/>
      <c r="Q443" s="101"/>
    </row>
    <row r="444" spans="1:17" ht="19.5" customHeight="1" x14ac:dyDescent="0.3">
      <c r="A444" s="42"/>
      <c r="B444" s="59" t="s">
        <v>336</v>
      </c>
      <c r="C444" s="60"/>
      <c r="D444" s="59"/>
      <c r="E444" s="59"/>
      <c r="F444" s="59"/>
      <c r="G444" s="59"/>
      <c r="H444" s="59"/>
      <c r="I444" s="61"/>
      <c r="J444" s="62"/>
      <c r="K444" s="62"/>
      <c r="L444" s="62"/>
      <c r="M444" s="62"/>
      <c r="N444" s="62"/>
      <c r="O444" s="62"/>
      <c r="P444" s="62"/>
      <c r="Q444" s="62"/>
    </row>
    <row r="445" spans="1:17" ht="19.5" customHeight="1" x14ac:dyDescent="0.3">
      <c r="A445" s="42"/>
      <c r="B445" s="86"/>
      <c r="C445" s="119"/>
      <c r="D445" s="86"/>
      <c r="E445" s="86"/>
      <c r="F445" s="86"/>
      <c r="G445" s="86"/>
      <c r="H445" s="86"/>
      <c r="I445" s="55"/>
      <c r="J445" s="56"/>
      <c r="K445" s="56"/>
      <c r="L445" s="56"/>
      <c r="M445" s="56"/>
      <c r="N445" s="56"/>
      <c r="O445" s="56"/>
      <c r="P445" s="56"/>
      <c r="Q445" s="56"/>
    </row>
    <row r="446" spans="1:17" ht="29.1" customHeight="1" x14ac:dyDescent="0.25">
      <c r="A446" s="89" t="s">
        <v>337</v>
      </c>
      <c r="B446" s="77"/>
      <c r="C446" s="187" t="s">
        <v>41</v>
      </c>
      <c r="D446" s="187"/>
      <c r="E446" s="187"/>
      <c r="F446" s="187"/>
      <c r="G446" s="187"/>
      <c r="H446" s="187"/>
      <c r="I446" s="78" t="s">
        <v>42</v>
      </c>
      <c r="J446" s="41" t="s">
        <v>43</v>
      </c>
      <c r="K446" s="41">
        <v>1000</v>
      </c>
      <c r="L446" s="41">
        <v>2000</v>
      </c>
      <c r="M446" s="41">
        <v>3000</v>
      </c>
      <c r="N446" s="41">
        <v>4000</v>
      </c>
      <c r="O446" s="41">
        <v>5000</v>
      </c>
      <c r="P446" s="41">
        <v>6000</v>
      </c>
      <c r="Q446" s="41">
        <v>7000</v>
      </c>
    </row>
    <row r="447" spans="1:17" ht="15" customHeight="1" x14ac:dyDescent="0.3">
      <c r="A447" s="42"/>
      <c r="B447" s="43" t="s">
        <v>312</v>
      </c>
      <c r="C447" s="44" t="s">
        <v>45</v>
      </c>
      <c r="D447" s="47">
        <v>1.4</v>
      </c>
      <c r="E447" s="46" t="s">
        <v>47</v>
      </c>
      <c r="F447" s="47">
        <v>1.2</v>
      </c>
      <c r="G447" s="46" t="s">
        <v>48</v>
      </c>
      <c r="H447" s="57">
        <v>0.92</v>
      </c>
      <c r="I447" s="48">
        <v>11</v>
      </c>
      <c r="J447" s="49">
        <f>ROUND((3945*$T$1),0)*1.05</f>
        <v>4142.25</v>
      </c>
      <c r="K447" s="49">
        <f>ROUND((4383*$T$1),0)*1.05</f>
        <v>4602.1500000000005</v>
      </c>
      <c r="L447" s="49">
        <f>ROUND((4455*$T$1),0)*1.05</f>
        <v>4677.75</v>
      </c>
      <c r="M447" s="49">
        <f>ROUND((4538*$T$1),0)*1.05</f>
        <v>4764.9000000000005</v>
      </c>
      <c r="N447" s="49">
        <f>ROUND((4621*$T$1),0)*1.05</f>
        <v>4852.05</v>
      </c>
      <c r="O447" s="49">
        <f>ROUND((4671*$T$1),0)*1.05</f>
        <v>4904.55</v>
      </c>
      <c r="P447" s="49">
        <f>ROUND((4821*$T$1),0)*1.05</f>
        <v>5062.05</v>
      </c>
      <c r="Q447" s="49">
        <f>ROUND((5072*$T$1),0)*1.05</f>
        <v>5325.6</v>
      </c>
    </row>
    <row r="448" spans="1:17" ht="15" customHeight="1" x14ac:dyDescent="0.3">
      <c r="A448" s="42"/>
      <c r="B448" s="43" t="s">
        <v>313</v>
      </c>
      <c r="C448" s="44" t="s">
        <v>45</v>
      </c>
      <c r="D448" s="47">
        <v>1.3</v>
      </c>
      <c r="E448" s="46" t="s">
        <v>47</v>
      </c>
      <c r="F448" s="47">
        <v>1.2</v>
      </c>
      <c r="G448" s="46" t="s">
        <v>48</v>
      </c>
      <c r="H448" s="57">
        <v>0.92</v>
      </c>
      <c r="I448" s="48">
        <v>11</v>
      </c>
      <c r="J448" s="49">
        <f>ROUND((3865*$T$1),0)*1.05</f>
        <v>4058.25</v>
      </c>
      <c r="K448" s="49">
        <f>ROUND((4294*$T$1),0)*1.05</f>
        <v>4508.7</v>
      </c>
      <c r="L448" s="49">
        <f>ROUND((4365*$T$1),0)*1.05</f>
        <v>4583.25</v>
      </c>
      <c r="M448" s="49">
        <f>ROUND((4447*$T$1),0)*1.05</f>
        <v>4669.3500000000004</v>
      </c>
      <c r="N448" s="49">
        <f>ROUND((4529*$T$1),0)*1.05</f>
        <v>4755.45</v>
      </c>
      <c r="O448" s="49">
        <f>ROUND((4578*$T$1),0)*1.05</f>
        <v>4806.9000000000005</v>
      </c>
      <c r="P448" s="49">
        <f>ROUND((4725*$T$1),0)*1.05</f>
        <v>4961.25</v>
      </c>
      <c r="Q448" s="49">
        <f>ROUND((4970*$T$1),0)*1.05</f>
        <v>5218.5</v>
      </c>
    </row>
    <row r="449" spans="1:17" ht="15" customHeight="1" x14ac:dyDescent="0.3">
      <c r="A449" s="42"/>
      <c r="B449" s="43" t="s">
        <v>314</v>
      </c>
      <c r="C449" s="44" t="s">
        <v>45</v>
      </c>
      <c r="D449" s="47">
        <v>1.2</v>
      </c>
      <c r="E449" s="46" t="s">
        <v>47</v>
      </c>
      <c r="F449" s="47">
        <v>1.2</v>
      </c>
      <c r="G449" s="46" t="s">
        <v>48</v>
      </c>
      <c r="H449" s="57">
        <v>0.92</v>
      </c>
      <c r="I449" s="48">
        <v>10</v>
      </c>
      <c r="J449" s="49">
        <f>ROUND((3763*$T$1),0)*1.05</f>
        <v>3951.15</v>
      </c>
      <c r="K449" s="49">
        <f>ROUND((4181*$T$1),0)*1.05</f>
        <v>4390.05</v>
      </c>
      <c r="L449" s="49">
        <f>ROUND((4247*$T$1),0)*1.05</f>
        <v>4459.3500000000004</v>
      </c>
      <c r="M449" s="49">
        <f>ROUND((4323*$T$1),0)*1.05</f>
        <v>4539.1500000000005</v>
      </c>
      <c r="N449" s="49">
        <f>ROUND((4399*$T$1),0)*1.05</f>
        <v>4618.95</v>
      </c>
      <c r="O449" s="49">
        <f>ROUND((4445*$T$1),0)*1.05</f>
        <v>4667.25</v>
      </c>
      <c r="P449" s="49">
        <f>ROUND((4582*$T$1),0)*1.05</f>
        <v>4811.1000000000004</v>
      </c>
      <c r="Q449" s="49">
        <f>ROUND((4809*$T$1),0)*1.05</f>
        <v>5049.45</v>
      </c>
    </row>
    <row r="450" spans="1:17" ht="15" customHeight="1" x14ac:dyDescent="0.3">
      <c r="A450" s="42"/>
      <c r="B450" s="43" t="s">
        <v>338</v>
      </c>
      <c r="C450" s="44" t="s">
        <v>45</v>
      </c>
      <c r="D450" s="47">
        <v>1.1000000000000001</v>
      </c>
      <c r="E450" s="46" t="s">
        <v>47</v>
      </c>
      <c r="F450" s="47">
        <v>1.2</v>
      </c>
      <c r="G450" s="46" t="s">
        <v>48</v>
      </c>
      <c r="H450" s="57">
        <v>0.92</v>
      </c>
      <c r="I450" s="48">
        <v>10</v>
      </c>
      <c r="J450" s="49">
        <f>ROUND((3686*$T$1),0)*1.05</f>
        <v>3870.3</v>
      </c>
      <c r="K450" s="49">
        <f>ROUND((4095*$T$1),0)*1.05</f>
        <v>4299.75</v>
      </c>
      <c r="L450" s="49">
        <f>ROUND((4158*$T$1),0)*1.05</f>
        <v>4365.9000000000005</v>
      </c>
      <c r="M450" s="49">
        <f>ROUND((4231*$T$1),0)*1.05</f>
        <v>4442.55</v>
      </c>
      <c r="N450" s="49">
        <f>ROUND((4304*$T$1),0)*1.05</f>
        <v>4519.2</v>
      </c>
      <c r="O450" s="49">
        <f>ROUND((4348*$T$1),0)*1.05</f>
        <v>4565.4000000000005</v>
      </c>
      <c r="P450" s="49">
        <f>ROUND((4479*$T$1),0)*1.05</f>
        <v>4702.95</v>
      </c>
      <c r="Q450" s="49">
        <f>ROUND((4698*$T$1),0)*1.05</f>
        <v>4932.9000000000005</v>
      </c>
    </row>
    <row r="451" spans="1:17" ht="15" customHeight="1" x14ac:dyDescent="0.3">
      <c r="A451" s="42"/>
      <c r="B451" s="44"/>
      <c r="C451" s="44"/>
      <c r="D451" s="47"/>
      <c r="E451" s="46"/>
      <c r="F451" s="47"/>
      <c r="G451" s="46"/>
      <c r="H451" s="57"/>
      <c r="I451" s="48"/>
      <c r="J451" s="49"/>
      <c r="K451" s="49"/>
      <c r="L451" s="49"/>
      <c r="M451" s="49"/>
      <c r="N451" s="49"/>
      <c r="O451" s="49"/>
      <c r="P451" s="49"/>
      <c r="Q451" s="49"/>
    </row>
    <row r="452" spans="1:17" ht="15" customHeight="1" x14ac:dyDescent="0.3">
      <c r="A452" s="42"/>
      <c r="B452" s="43" t="s">
        <v>339</v>
      </c>
      <c r="C452" s="44" t="s">
        <v>45</v>
      </c>
      <c r="D452" s="47">
        <v>1.2</v>
      </c>
      <c r="E452" s="46" t="s">
        <v>47</v>
      </c>
      <c r="F452" s="47">
        <v>1.2</v>
      </c>
      <c r="G452" s="46" t="s">
        <v>48</v>
      </c>
      <c r="H452" s="57">
        <v>0.92</v>
      </c>
      <c r="I452" s="48">
        <v>10</v>
      </c>
      <c r="J452" s="49">
        <f>ROUND((3669*$T$1),0)*1.05</f>
        <v>3852.4500000000003</v>
      </c>
      <c r="K452" s="49">
        <f>ROUND((4076*$T$1),0)*1.05</f>
        <v>4279.8</v>
      </c>
      <c r="L452" s="49">
        <f>ROUND((4139*$T$1),0)*1.05</f>
        <v>4345.95</v>
      </c>
      <c r="M452" s="49">
        <f>ROUND((4212*$T$1),0)*1.05</f>
        <v>4422.6000000000004</v>
      </c>
      <c r="N452" s="49">
        <f>ROUND((4286*$T$1),0)*1.05</f>
        <v>4500.3</v>
      </c>
      <c r="O452" s="49">
        <f>ROUND((4331*$T$1),0)*1.05</f>
        <v>4547.55</v>
      </c>
      <c r="P452" s="49">
        <f>ROUND((4463*$T$1),0)*1.05</f>
        <v>4686.1500000000005</v>
      </c>
      <c r="Q452" s="49">
        <f>ROUND((4683*$T$1),0)*1.05</f>
        <v>4917.1500000000005</v>
      </c>
    </row>
    <row r="453" spans="1:17" ht="15" customHeight="1" x14ac:dyDescent="0.3">
      <c r="A453" s="42"/>
      <c r="B453" s="43" t="s">
        <v>340</v>
      </c>
      <c r="C453" s="44" t="s">
        <v>45</v>
      </c>
      <c r="D453" s="47">
        <v>1.1000000000000001</v>
      </c>
      <c r="E453" s="46" t="s">
        <v>47</v>
      </c>
      <c r="F453" s="47">
        <v>1.2</v>
      </c>
      <c r="G453" s="46" t="s">
        <v>48</v>
      </c>
      <c r="H453" s="57">
        <v>0.92</v>
      </c>
      <c r="I453" s="48">
        <v>10</v>
      </c>
      <c r="J453" s="49">
        <f>ROUND((3611*$T$1),0)*1.05</f>
        <v>3791.55</v>
      </c>
      <c r="K453" s="49">
        <f>ROUND((4012*$T$1),0)*1.05</f>
        <v>4212.6000000000004</v>
      </c>
      <c r="L453" s="49">
        <f>ROUND((4073*$T$1),0)*1.05</f>
        <v>4276.6500000000005</v>
      </c>
      <c r="M453" s="49">
        <f>ROUND((4143*$T$1),0)*1.05</f>
        <v>4350.1500000000005</v>
      </c>
      <c r="N453" s="49">
        <f>ROUND((4214*$T$1),0)*1.05</f>
        <v>4424.7</v>
      </c>
      <c r="O453" s="49">
        <f>ROUND((4256*$T$1),0)*1.05</f>
        <v>4468.8</v>
      </c>
      <c r="P453" s="49">
        <f>ROUND((4384*$T$1),0)*1.05</f>
        <v>4603.2</v>
      </c>
      <c r="Q453" s="49">
        <f>ROUND((4594*$T$1),0)*1.05</f>
        <v>4823.7</v>
      </c>
    </row>
    <row r="454" spans="1:17" ht="15" customHeight="1" x14ac:dyDescent="0.3">
      <c r="A454" s="42"/>
      <c r="B454" s="43" t="s">
        <v>341</v>
      </c>
      <c r="C454" s="44" t="s">
        <v>45</v>
      </c>
      <c r="D454" s="47">
        <v>1</v>
      </c>
      <c r="E454" s="46" t="s">
        <v>47</v>
      </c>
      <c r="F454" s="47">
        <v>1.2</v>
      </c>
      <c r="G454" s="46" t="s">
        <v>48</v>
      </c>
      <c r="H454" s="57">
        <v>0.92</v>
      </c>
      <c r="I454" s="48">
        <v>9</v>
      </c>
      <c r="J454" s="49">
        <f>ROUND((3486*$T$1),0)*1.05</f>
        <v>3660.3</v>
      </c>
      <c r="K454" s="49">
        <f>ROUND((3873*$T$1),0)*1.05</f>
        <v>4066.65</v>
      </c>
      <c r="L454" s="49">
        <f>ROUND((3930*$T$1),0)*1.05</f>
        <v>4126.5</v>
      </c>
      <c r="M454" s="49">
        <f>ROUND((3994*$T$1),0)*1.05</f>
        <v>4193.7</v>
      </c>
      <c r="N454" s="49">
        <f>ROUND((4058*$T$1),0)*1.05</f>
        <v>4260.9000000000005</v>
      </c>
      <c r="O454" s="49">
        <f>ROUND((4097*$T$1),0)*1.05</f>
        <v>4301.8500000000004</v>
      </c>
      <c r="P454" s="49">
        <f>ROUND((4214*$T$1),0)*1.05</f>
        <v>4424.7</v>
      </c>
      <c r="Q454" s="49">
        <f>ROUND((4407*$T$1),0)*1.05</f>
        <v>4627.3500000000004</v>
      </c>
    </row>
    <row r="455" spans="1:17" ht="15" customHeight="1" x14ac:dyDescent="0.3">
      <c r="A455" s="42"/>
      <c r="B455" s="43" t="s">
        <v>342</v>
      </c>
      <c r="C455" s="44" t="s">
        <v>45</v>
      </c>
      <c r="D455" s="47">
        <v>0.9</v>
      </c>
      <c r="E455" s="46" t="s">
        <v>47</v>
      </c>
      <c r="F455" s="47">
        <v>1.2</v>
      </c>
      <c r="G455" s="46" t="s">
        <v>48</v>
      </c>
      <c r="H455" s="57">
        <v>0.92</v>
      </c>
      <c r="I455" s="48">
        <v>8</v>
      </c>
      <c r="J455" s="49">
        <f>ROUND((3390*$T$1),0)*1.05</f>
        <v>3559.5</v>
      </c>
      <c r="K455" s="49">
        <f>ROUND((3766*$T$1),0)*1.05</f>
        <v>3954.3</v>
      </c>
      <c r="L455" s="49">
        <f>ROUND((3816*$T$1),0)*1.05</f>
        <v>4006.8</v>
      </c>
      <c r="M455" s="49">
        <f>ROUND((3871*$T$1),0)*1.05</f>
        <v>4064.55</v>
      </c>
      <c r="N455" s="49">
        <f>ROUND((3927*$T$1),0)*1.05</f>
        <v>4123.3500000000004</v>
      </c>
      <c r="O455" s="49">
        <f>ROUND((3962*$T$1),0)*1.05</f>
        <v>4160.1000000000004</v>
      </c>
      <c r="P455" s="49">
        <f>ROUND((4063*$T$1),0)*1.05</f>
        <v>4266.1500000000005</v>
      </c>
      <c r="Q455" s="49">
        <f>ROUND((4232*$T$1),0)*1.05</f>
        <v>4443.6000000000004</v>
      </c>
    </row>
    <row r="456" spans="1:17" ht="15" customHeight="1" x14ac:dyDescent="0.3">
      <c r="A456" s="42"/>
      <c r="B456" s="44"/>
      <c r="C456" s="44"/>
      <c r="D456" s="47"/>
      <c r="E456" s="46"/>
      <c r="F456" s="47"/>
      <c r="G456" s="46"/>
      <c r="H456" s="57"/>
      <c r="I456" s="48"/>
      <c r="J456" s="49"/>
      <c r="K456" s="49"/>
      <c r="L456" s="49"/>
      <c r="M456" s="49"/>
      <c r="N456" s="49"/>
      <c r="O456" s="49"/>
      <c r="P456" s="49"/>
      <c r="Q456" s="49"/>
    </row>
    <row r="457" spans="1:17" ht="15" customHeight="1" x14ac:dyDescent="0.3">
      <c r="A457" s="42"/>
      <c r="B457" s="44"/>
      <c r="C457" s="44"/>
      <c r="D457" s="47"/>
      <c r="E457" s="46"/>
      <c r="F457" s="47"/>
      <c r="G457" s="46"/>
      <c r="H457" s="57"/>
      <c r="I457" s="48"/>
      <c r="J457" s="49"/>
      <c r="K457" s="49"/>
      <c r="L457" s="49"/>
      <c r="M457" s="49"/>
      <c r="N457" s="49"/>
      <c r="O457" s="49"/>
      <c r="P457" s="49"/>
      <c r="Q457" s="49"/>
    </row>
    <row r="458" spans="1:17" ht="15" customHeight="1" x14ac:dyDescent="0.3">
      <c r="A458" s="42"/>
      <c r="B458" s="51" t="s">
        <v>184</v>
      </c>
      <c r="C458" s="44"/>
      <c r="D458" s="47"/>
      <c r="E458" s="46"/>
      <c r="F458" s="47"/>
      <c r="G458" s="46"/>
      <c r="H458" s="57"/>
      <c r="I458" s="48"/>
      <c r="J458" s="49"/>
      <c r="K458" s="49">
        <f>ROUND((1734*$T$1),0)*1.05</f>
        <v>1820.7</v>
      </c>
      <c r="L458" s="49"/>
      <c r="M458" s="49"/>
      <c r="N458" s="49"/>
      <c r="O458" s="49"/>
      <c r="P458" s="49"/>
      <c r="Q458" s="49"/>
    </row>
    <row r="459" spans="1:17" ht="15" customHeight="1" x14ac:dyDescent="0.3">
      <c r="A459" s="42"/>
      <c r="B459" s="51" t="s">
        <v>185</v>
      </c>
      <c r="C459" s="44"/>
      <c r="D459" s="47"/>
      <c r="E459" s="46"/>
      <c r="F459" s="47"/>
      <c r="G459" s="46"/>
      <c r="H459" s="57"/>
      <c r="I459" s="48"/>
      <c r="J459" s="49"/>
      <c r="K459" s="49">
        <f>ROUND((2765*$T$1),0)*1.05</f>
        <v>2903.25</v>
      </c>
      <c r="L459" s="49"/>
      <c r="M459" s="49"/>
      <c r="N459" s="49"/>
      <c r="O459" s="49"/>
      <c r="P459" s="49"/>
      <c r="Q459" s="49"/>
    </row>
    <row r="460" spans="1:17" ht="15" customHeight="1" x14ac:dyDescent="0.3">
      <c r="A460" s="42"/>
      <c r="B460" s="51" t="s">
        <v>186</v>
      </c>
      <c r="C460" s="44"/>
      <c r="D460" s="47"/>
      <c r="E460" s="46"/>
      <c r="F460" s="47"/>
      <c r="G460" s="46"/>
      <c r="H460" s="57"/>
      <c r="I460" s="48"/>
      <c r="J460" s="49"/>
      <c r="K460" s="49">
        <f>ROUND((3795*$T$1),0)*1.05</f>
        <v>3984.75</v>
      </c>
      <c r="L460" s="49"/>
      <c r="M460" s="49"/>
      <c r="N460" s="49"/>
      <c r="O460" s="49"/>
      <c r="P460" s="49"/>
      <c r="Q460" s="49"/>
    </row>
    <row r="461" spans="1:17" ht="15" customHeight="1" x14ac:dyDescent="0.3">
      <c r="A461" s="42"/>
      <c r="B461" s="44"/>
      <c r="C461" s="44"/>
      <c r="D461" s="47"/>
      <c r="E461" s="46"/>
      <c r="F461" s="47"/>
      <c r="G461" s="46"/>
      <c r="H461" s="57"/>
      <c r="I461" s="48"/>
      <c r="J461" s="49"/>
      <c r="K461" s="49"/>
      <c r="L461" s="49"/>
      <c r="M461" s="49"/>
      <c r="N461" s="49"/>
      <c r="O461" s="49"/>
      <c r="P461" s="49"/>
      <c r="Q461" s="49"/>
    </row>
    <row r="462" spans="1:17" ht="15" customHeight="1" x14ac:dyDescent="0.3">
      <c r="A462" s="42"/>
      <c r="B462" s="51" t="s">
        <v>343</v>
      </c>
      <c r="C462" s="44"/>
      <c r="D462" s="47"/>
      <c r="E462" s="46"/>
      <c r="F462" s="47"/>
      <c r="G462" s="46"/>
      <c r="H462" s="57"/>
      <c r="I462" s="48"/>
      <c r="J462" s="49"/>
      <c r="K462" s="49">
        <f>ROUND((396*$T$1),0)*1.05</f>
        <v>415.8</v>
      </c>
      <c r="L462" s="49"/>
      <c r="M462" s="49"/>
      <c r="N462" s="49"/>
      <c r="O462" s="49"/>
      <c r="P462" s="49"/>
      <c r="Q462" s="49"/>
    </row>
    <row r="463" spans="1:17" ht="15" customHeight="1" x14ac:dyDescent="0.3">
      <c r="A463" s="42"/>
      <c r="B463" s="51" t="s">
        <v>344</v>
      </c>
      <c r="C463" s="44"/>
      <c r="D463" s="47"/>
      <c r="E463" s="46"/>
      <c r="F463" s="47"/>
      <c r="G463" s="46"/>
      <c r="H463" s="57"/>
      <c r="I463" s="48"/>
      <c r="J463" s="49"/>
      <c r="K463" s="49">
        <f>ROUND((451*$T$1),0)*1.05</f>
        <v>473.55</v>
      </c>
      <c r="L463" s="49"/>
      <c r="M463" s="49"/>
      <c r="N463" s="49"/>
      <c r="O463" s="49"/>
      <c r="P463" s="49"/>
      <c r="Q463" s="49"/>
    </row>
    <row r="464" spans="1:17" ht="15" customHeight="1" x14ac:dyDescent="0.3">
      <c r="A464" s="42"/>
      <c r="B464" s="43"/>
      <c r="C464" s="44"/>
      <c r="D464" s="47"/>
      <c r="E464" s="46"/>
      <c r="F464" s="47"/>
      <c r="G464" s="46"/>
      <c r="H464" s="57"/>
      <c r="I464" s="48"/>
      <c r="J464" s="49"/>
      <c r="K464" s="49"/>
      <c r="L464" s="49"/>
      <c r="M464" s="49"/>
      <c r="N464" s="49"/>
      <c r="O464" s="49"/>
      <c r="P464" s="49"/>
      <c r="Q464" s="49"/>
    </row>
    <row r="465" spans="1:17" ht="15" customHeight="1" x14ac:dyDescent="0.3">
      <c r="A465" s="42"/>
      <c r="B465" s="51" t="s">
        <v>188</v>
      </c>
      <c r="C465" s="44"/>
      <c r="D465" s="47"/>
      <c r="E465" s="46"/>
      <c r="F465" s="47"/>
      <c r="G465" s="46"/>
      <c r="H465" s="57"/>
      <c r="I465" s="48"/>
      <c r="J465" s="49"/>
      <c r="K465" s="49">
        <f>ROUND((132*$T$1),0)*1.05</f>
        <v>138.6</v>
      </c>
      <c r="L465" s="49"/>
      <c r="M465" s="49"/>
      <c r="N465" s="49"/>
      <c r="O465" s="49"/>
      <c r="P465" s="49"/>
      <c r="Q465" s="49"/>
    </row>
    <row r="466" spans="1:17" ht="15" customHeight="1" x14ac:dyDescent="0.3">
      <c r="A466" s="42"/>
      <c r="B466" s="51" t="s">
        <v>189</v>
      </c>
      <c r="C466" s="44"/>
      <c r="D466" s="47"/>
      <c r="E466" s="46"/>
      <c r="F466" s="47"/>
      <c r="G466" s="46"/>
      <c r="H466" s="57"/>
      <c r="I466" s="48"/>
      <c r="J466" s="49"/>
      <c r="K466" s="49">
        <f>ROUND((132*$T$1),0)*1.05</f>
        <v>138.6</v>
      </c>
      <c r="L466" s="49"/>
      <c r="M466" s="49"/>
      <c r="N466" s="49"/>
      <c r="O466" s="49"/>
      <c r="P466" s="49"/>
      <c r="Q466" s="49"/>
    </row>
    <row r="467" spans="1:17" ht="15" customHeight="1" x14ac:dyDescent="0.3">
      <c r="A467" s="42"/>
      <c r="B467" s="123" t="s">
        <v>187</v>
      </c>
      <c r="C467" s="44"/>
      <c r="D467" s="47"/>
      <c r="E467" s="46"/>
      <c r="F467" s="47"/>
      <c r="G467" s="46"/>
      <c r="H467" s="57"/>
      <c r="I467" s="48"/>
      <c r="J467" s="49"/>
      <c r="K467" s="49">
        <f>ROUND((220*$T$1),0)*1.05</f>
        <v>231</v>
      </c>
      <c r="L467" s="49"/>
      <c r="M467" s="49"/>
      <c r="N467" s="49"/>
      <c r="O467" s="49"/>
      <c r="P467" s="49"/>
      <c r="Q467" s="49"/>
    </row>
    <row r="468" spans="1:17" ht="15" customHeight="1" x14ac:dyDescent="0.3">
      <c r="A468" s="42"/>
      <c r="B468" s="43"/>
      <c r="C468" s="44"/>
      <c r="D468" s="47"/>
      <c r="E468" s="46"/>
      <c r="F468" s="47"/>
      <c r="G468" s="46"/>
      <c r="H468" s="57"/>
      <c r="I468" s="48"/>
      <c r="J468" s="49"/>
      <c r="K468" s="49"/>
      <c r="L468" s="49"/>
      <c r="M468" s="49"/>
      <c r="N468" s="49"/>
      <c r="O468" s="49"/>
      <c r="P468" s="49"/>
      <c r="Q468" s="49"/>
    </row>
    <row r="469" spans="1:17" ht="15" customHeight="1" x14ac:dyDescent="0.3">
      <c r="A469" s="42"/>
      <c r="B469" s="118" t="s">
        <v>190</v>
      </c>
      <c r="C469" s="44"/>
      <c r="D469" s="47"/>
      <c r="E469" s="46"/>
      <c r="F469" s="47"/>
      <c r="G469" s="46"/>
      <c r="H469" s="57"/>
      <c r="I469" s="48"/>
      <c r="J469" s="49"/>
      <c r="K469" s="49"/>
      <c r="L469" s="49"/>
      <c r="M469" s="49"/>
      <c r="N469" s="49"/>
      <c r="O469" s="49"/>
      <c r="P469" s="49"/>
      <c r="Q469" s="49"/>
    </row>
    <row r="470" spans="1:17" ht="15" customHeight="1" x14ac:dyDescent="0.3">
      <c r="A470" s="42"/>
      <c r="B470" s="43"/>
      <c r="C470" s="44"/>
      <c r="D470" s="47"/>
      <c r="E470" s="46"/>
      <c r="F470" s="47"/>
      <c r="G470" s="46"/>
      <c r="H470" s="57"/>
      <c r="I470" s="48"/>
      <c r="J470" s="49"/>
      <c r="K470" s="49"/>
      <c r="L470" s="49"/>
      <c r="M470" s="49"/>
      <c r="N470" s="49"/>
      <c r="O470" s="49"/>
      <c r="P470" s="49"/>
      <c r="Q470" s="49"/>
    </row>
    <row r="471" spans="1:17" ht="15" customHeight="1" x14ac:dyDescent="0.3">
      <c r="A471" s="42"/>
      <c r="B471" s="43" t="s">
        <v>321</v>
      </c>
      <c r="C471" s="44" t="s">
        <v>45</v>
      </c>
      <c r="D471" s="47">
        <v>1.4</v>
      </c>
      <c r="E471" s="46" t="s">
        <v>47</v>
      </c>
      <c r="F471" s="47">
        <v>1.2</v>
      </c>
      <c r="G471" s="46" t="s">
        <v>48</v>
      </c>
      <c r="H471" s="57">
        <v>0.92</v>
      </c>
      <c r="I471" s="48">
        <v>11</v>
      </c>
      <c r="J471" s="49">
        <f>ROUND((3945*$T$1),0)*1.05</f>
        <v>4142.25</v>
      </c>
      <c r="K471" s="49">
        <f>ROUND((4383*$T$1),0)*1.05</f>
        <v>4602.1500000000005</v>
      </c>
      <c r="L471" s="49">
        <f>ROUND((4455*$T$1),0)*1.05</f>
        <v>4677.75</v>
      </c>
      <c r="M471" s="49">
        <f>ROUND((4538*$T$1),0)*1.05</f>
        <v>4764.9000000000005</v>
      </c>
      <c r="N471" s="49">
        <f>ROUND((4621*$T$1),0)*1.05</f>
        <v>4852.05</v>
      </c>
      <c r="O471" s="49">
        <f>ROUND((4671*$T$1),0)*1.05</f>
        <v>4904.55</v>
      </c>
      <c r="P471" s="49">
        <f>ROUND((4821*$T$1),0)*1.05</f>
        <v>5062.05</v>
      </c>
      <c r="Q471" s="49">
        <f>ROUND((5072*$T$1),0)*1.05</f>
        <v>5325.6</v>
      </c>
    </row>
    <row r="472" spans="1:17" ht="15" customHeight="1" x14ac:dyDescent="0.3">
      <c r="A472" s="42"/>
      <c r="B472" s="43" t="s">
        <v>322</v>
      </c>
      <c r="C472" s="44" t="s">
        <v>45</v>
      </c>
      <c r="D472" s="47">
        <v>1.3</v>
      </c>
      <c r="E472" s="46" t="s">
        <v>47</v>
      </c>
      <c r="F472" s="47">
        <v>1.2</v>
      </c>
      <c r="G472" s="46" t="s">
        <v>48</v>
      </c>
      <c r="H472" s="57">
        <v>0.92</v>
      </c>
      <c r="I472" s="48">
        <v>11</v>
      </c>
      <c r="J472" s="49">
        <f>ROUND((3865*$T$1),0)*1.05</f>
        <v>4058.25</v>
      </c>
      <c r="K472" s="49">
        <f>ROUND((4294*$T$1),0)*1.05</f>
        <v>4508.7</v>
      </c>
      <c r="L472" s="49">
        <f>ROUND((4365*$T$1),0)*1.05</f>
        <v>4583.25</v>
      </c>
      <c r="M472" s="49">
        <f>ROUND((4447*$T$1),0)*1.05</f>
        <v>4669.3500000000004</v>
      </c>
      <c r="N472" s="49">
        <f>ROUND((4529*$T$1),0)*1.05</f>
        <v>4755.45</v>
      </c>
      <c r="O472" s="49">
        <f>ROUND((4578*$T$1),0)*1.05</f>
        <v>4806.9000000000005</v>
      </c>
      <c r="P472" s="49">
        <f>ROUND((4725*$T$1),0)*1.05</f>
        <v>4961.25</v>
      </c>
      <c r="Q472" s="49">
        <f>ROUND((4970*$T$1),0)*1.05</f>
        <v>5218.5</v>
      </c>
    </row>
    <row r="473" spans="1:17" ht="15" customHeight="1" x14ac:dyDescent="0.3">
      <c r="A473" s="42"/>
      <c r="B473" s="43" t="s">
        <v>323</v>
      </c>
      <c r="C473" s="44" t="s">
        <v>45</v>
      </c>
      <c r="D473" s="47">
        <v>1.2</v>
      </c>
      <c r="E473" s="46" t="s">
        <v>47</v>
      </c>
      <c r="F473" s="47">
        <v>1.2</v>
      </c>
      <c r="G473" s="46" t="s">
        <v>48</v>
      </c>
      <c r="H473" s="57">
        <v>0.92</v>
      </c>
      <c r="I473" s="48">
        <v>10</v>
      </c>
      <c r="J473" s="49">
        <f>ROUND((3763*$T$1),0)*1.05</f>
        <v>3951.15</v>
      </c>
      <c r="K473" s="49">
        <f>ROUND((4181*$T$1),0)*1.05</f>
        <v>4390.05</v>
      </c>
      <c r="L473" s="49">
        <f>ROUND((4247*$T$1),0)*1.05</f>
        <v>4459.3500000000004</v>
      </c>
      <c r="M473" s="49">
        <f>ROUND((4323*$T$1),0)*1.05</f>
        <v>4539.1500000000005</v>
      </c>
      <c r="N473" s="49">
        <f>ROUND((4399*$T$1),0)*1.05</f>
        <v>4618.95</v>
      </c>
      <c r="O473" s="49">
        <f>ROUND((4445*$T$1),0)*1.05</f>
        <v>4667.25</v>
      </c>
      <c r="P473" s="49">
        <f>ROUND((4582*$T$1),0)*1.05</f>
        <v>4811.1000000000004</v>
      </c>
      <c r="Q473" s="49">
        <f>ROUND((4809*$T$1),0)*1.05</f>
        <v>5049.45</v>
      </c>
    </row>
    <row r="474" spans="1:17" ht="15" customHeight="1" x14ac:dyDescent="0.3">
      <c r="A474" s="42"/>
      <c r="B474" s="43" t="s">
        <v>345</v>
      </c>
      <c r="C474" s="44" t="s">
        <v>45</v>
      </c>
      <c r="D474" s="47">
        <v>1.1000000000000001</v>
      </c>
      <c r="E474" s="46" t="s">
        <v>47</v>
      </c>
      <c r="F474" s="47">
        <v>1.2</v>
      </c>
      <c r="G474" s="46" t="s">
        <v>48</v>
      </c>
      <c r="H474" s="57">
        <v>0.92</v>
      </c>
      <c r="I474" s="48">
        <v>10</v>
      </c>
      <c r="J474" s="49">
        <f>ROUND((3686*$T$1),0)*1.05</f>
        <v>3870.3</v>
      </c>
      <c r="K474" s="49">
        <f>ROUND((4095*$T$1),0)*1.05</f>
        <v>4299.75</v>
      </c>
      <c r="L474" s="49">
        <f>ROUND((4158*$T$1),0)*1.05</f>
        <v>4365.9000000000005</v>
      </c>
      <c r="M474" s="49">
        <f>ROUND((4231*$T$1),0)*1.05</f>
        <v>4442.55</v>
      </c>
      <c r="N474" s="49">
        <f>ROUND((4304*$T$1),0)*1.05</f>
        <v>4519.2</v>
      </c>
      <c r="O474" s="49">
        <f>ROUND((4348*$T$1),0)*1.05</f>
        <v>4565.4000000000005</v>
      </c>
      <c r="P474" s="49">
        <f>ROUND((4479*$T$1),0)*1.05</f>
        <v>4702.95</v>
      </c>
      <c r="Q474" s="49">
        <f>ROUND((4698*$T$1),0)*1.05</f>
        <v>4932.9000000000005</v>
      </c>
    </row>
    <row r="475" spans="1:17" ht="15" customHeight="1" x14ac:dyDescent="0.35">
      <c r="A475" s="124"/>
      <c r="B475" s="44"/>
      <c r="C475" s="44"/>
      <c r="D475" s="47"/>
      <c r="E475" s="46"/>
      <c r="F475" s="47"/>
      <c r="G475" s="46"/>
      <c r="H475" s="57"/>
      <c r="I475" s="48"/>
      <c r="J475" s="49"/>
      <c r="K475" s="49"/>
      <c r="L475" s="49"/>
      <c r="M475" s="49"/>
      <c r="N475" s="49"/>
      <c r="O475" s="49"/>
      <c r="P475" s="49"/>
      <c r="Q475" s="49"/>
    </row>
    <row r="476" spans="1:17" ht="15" customHeight="1" x14ac:dyDescent="0.3">
      <c r="A476" s="42"/>
      <c r="B476" s="43" t="s">
        <v>346</v>
      </c>
      <c r="C476" s="44" t="s">
        <v>45</v>
      </c>
      <c r="D476" s="47">
        <v>1.2</v>
      </c>
      <c r="E476" s="46" t="s">
        <v>47</v>
      </c>
      <c r="F476" s="47">
        <v>1.2</v>
      </c>
      <c r="G476" s="46" t="s">
        <v>48</v>
      </c>
      <c r="H476" s="57">
        <v>0.92</v>
      </c>
      <c r="I476" s="48">
        <v>10</v>
      </c>
      <c r="J476" s="49">
        <f>ROUND((3669*$T$1),0)*1.05</f>
        <v>3852.4500000000003</v>
      </c>
      <c r="K476" s="49">
        <f>ROUND((4076*$T$1),0)*1.05</f>
        <v>4279.8</v>
      </c>
      <c r="L476" s="49">
        <f>ROUND((4139*$T$1),0)*1.05</f>
        <v>4345.95</v>
      </c>
      <c r="M476" s="49">
        <f>ROUND((4212*$T$1),0)*1.05</f>
        <v>4422.6000000000004</v>
      </c>
      <c r="N476" s="49">
        <f>ROUND((4286*$T$1),0)*1.05</f>
        <v>4500.3</v>
      </c>
      <c r="O476" s="49">
        <f>ROUND((4331*$T$1),0)*1.05</f>
        <v>4547.55</v>
      </c>
      <c r="P476" s="49">
        <f>ROUND((4463*$T$1),0)*1.05</f>
        <v>4686.1500000000005</v>
      </c>
      <c r="Q476" s="49">
        <f>ROUND((4683*$T$1),0)*1.05</f>
        <v>4917.1500000000005</v>
      </c>
    </row>
    <row r="477" spans="1:17" ht="15" customHeight="1" x14ac:dyDescent="0.3">
      <c r="A477" s="42"/>
      <c r="B477" s="43" t="s">
        <v>347</v>
      </c>
      <c r="C477" s="44" t="s">
        <v>45</v>
      </c>
      <c r="D477" s="47">
        <v>1.1000000000000001</v>
      </c>
      <c r="E477" s="46" t="s">
        <v>47</v>
      </c>
      <c r="F477" s="47">
        <v>1.2</v>
      </c>
      <c r="G477" s="46" t="s">
        <v>48</v>
      </c>
      <c r="H477" s="57">
        <v>0.92</v>
      </c>
      <c r="I477" s="48">
        <v>10</v>
      </c>
      <c r="J477" s="49">
        <f>ROUND((3611*$T$1),0)*1.05</f>
        <v>3791.55</v>
      </c>
      <c r="K477" s="49">
        <f>ROUND((4012*$T$1),0)*1.05</f>
        <v>4212.6000000000004</v>
      </c>
      <c r="L477" s="49">
        <f>ROUND((4073*$T$1),0)*1.05</f>
        <v>4276.6500000000005</v>
      </c>
      <c r="M477" s="49">
        <f>ROUND((4143*$T$1),0)*1.05</f>
        <v>4350.1500000000005</v>
      </c>
      <c r="N477" s="49">
        <f>ROUND((4214*$T$1),0)*1.05</f>
        <v>4424.7</v>
      </c>
      <c r="O477" s="49">
        <f>ROUND((4256*$T$1),0)*1.05</f>
        <v>4468.8</v>
      </c>
      <c r="P477" s="49">
        <f>ROUND((4384*$T$1),0)*1.05</f>
        <v>4603.2</v>
      </c>
      <c r="Q477" s="49">
        <f>ROUND((4594*$T$1),0)*1.05</f>
        <v>4823.7</v>
      </c>
    </row>
    <row r="478" spans="1:17" ht="15" customHeight="1" x14ac:dyDescent="0.3">
      <c r="A478" s="42"/>
      <c r="B478" s="43" t="s">
        <v>348</v>
      </c>
      <c r="C478" s="44" t="s">
        <v>45</v>
      </c>
      <c r="D478" s="47">
        <v>1</v>
      </c>
      <c r="E478" s="46" t="s">
        <v>47</v>
      </c>
      <c r="F478" s="47">
        <v>1.2</v>
      </c>
      <c r="G478" s="46" t="s">
        <v>48</v>
      </c>
      <c r="H478" s="57">
        <v>0.92</v>
      </c>
      <c r="I478" s="48">
        <v>9</v>
      </c>
      <c r="J478" s="49">
        <f>ROUND((3486*$T$1),0)*1.05</f>
        <v>3660.3</v>
      </c>
      <c r="K478" s="49">
        <f>ROUND((3873*$T$1),0)*1.05</f>
        <v>4066.65</v>
      </c>
      <c r="L478" s="49">
        <f>ROUND((3930*$T$1),0)*1.05</f>
        <v>4126.5</v>
      </c>
      <c r="M478" s="49">
        <f>ROUND((3994*$T$1),0)*1.05</f>
        <v>4193.7</v>
      </c>
      <c r="N478" s="49">
        <f>ROUND((4058*$T$1),0)*1.05</f>
        <v>4260.9000000000005</v>
      </c>
      <c r="O478" s="49">
        <f>ROUND((4097*$T$1),0)*1.05</f>
        <v>4301.8500000000004</v>
      </c>
      <c r="P478" s="49">
        <f>ROUND((4214*$T$1),0)*1.05</f>
        <v>4424.7</v>
      </c>
      <c r="Q478" s="49">
        <f>ROUND((4407*$T$1),0)*1.05</f>
        <v>4627.3500000000004</v>
      </c>
    </row>
    <row r="479" spans="1:17" ht="15" customHeight="1" x14ac:dyDescent="0.3">
      <c r="A479" s="42"/>
      <c r="B479" s="43" t="s">
        <v>349</v>
      </c>
      <c r="C479" s="44" t="s">
        <v>45</v>
      </c>
      <c r="D479" s="47">
        <v>0.9</v>
      </c>
      <c r="E479" s="46" t="s">
        <v>47</v>
      </c>
      <c r="F479" s="47">
        <v>1.2</v>
      </c>
      <c r="G479" s="46" t="s">
        <v>48</v>
      </c>
      <c r="H479" s="57">
        <v>0.92</v>
      </c>
      <c r="I479" s="48">
        <v>8</v>
      </c>
      <c r="J479" s="49">
        <f>ROUND((3390*$T$1),0)*1.05</f>
        <v>3559.5</v>
      </c>
      <c r="K479" s="49">
        <f>ROUND((3766*$T$1),0)*1.05</f>
        <v>3954.3</v>
      </c>
      <c r="L479" s="49">
        <f>ROUND((3816*$T$1),0)*1.05</f>
        <v>4006.8</v>
      </c>
      <c r="M479" s="49">
        <f>ROUND((3871*$T$1),0)*1.05</f>
        <v>4064.55</v>
      </c>
      <c r="N479" s="49">
        <f>ROUND((3927*$T$1),0)*1.05</f>
        <v>4123.3500000000004</v>
      </c>
      <c r="O479" s="49">
        <f>ROUND((3962*$T$1),0)*1.05</f>
        <v>4160.1000000000004</v>
      </c>
      <c r="P479" s="49">
        <f>ROUND((4063*$T$1),0)*1.05</f>
        <v>4266.1500000000005</v>
      </c>
      <c r="Q479" s="49">
        <f>ROUND((4232*$T$1),0)*1.05</f>
        <v>4443.6000000000004</v>
      </c>
    </row>
    <row r="480" spans="1:17" ht="15" customHeight="1" x14ac:dyDescent="0.3">
      <c r="A480" s="42"/>
      <c r="B480" s="44"/>
      <c r="C480" s="44"/>
      <c r="D480" s="47"/>
      <c r="E480" s="46"/>
      <c r="F480" s="47"/>
      <c r="G480" s="46"/>
      <c r="H480" s="57"/>
      <c r="I480" s="48"/>
      <c r="J480" s="49"/>
      <c r="K480" s="49"/>
      <c r="L480" s="49"/>
      <c r="M480" s="49"/>
      <c r="N480" s="49"/>
      <c r="O480" s="49"/>
      <c r="P480" s="49"/>
      <c r="Q480" s="49"/>
    </row>
    <row r="481" spans="1:21" ht="15" customHeight="1" x14ac:dyDescent="0.3">
      <c r="A481" s="42"/>
      <c r="B481" s="43" t="s">
        <v>350</v>
      </c>
      <c r="C481" s="44" t="s">
        <v>45</v>
      </c>
      <c r="D481" s="47">
        <v>1.2</v>
      </c>
      <c r="E481" s="46" t="s">
        <v>47</v>
      </c>
      <c r="F481" s="47">
        <v>1.2</v>
      </c>
      <c r="G481" s="46" t="s">
        <v>48</v>
      </c>
      <c r="H481" s="57">
        <v>0.92</v>
      </c>
      <c r="I481" s="48">
        <v>10</v>
      </c>
      <c r="J481" s="49">
        <f>ROUND((3433*$T$1),0)*1.05</f>
        <v>3604.65</v>
      </c>
      <c r="K481" s="49">
        <f>ROUND((3815*$T$1),0)*1.05</f>
        <v>4005.75</v>
      </c>
      <c r="L481" s="49">
        <f>ROUND((3874*$T$1),0)*1.05</f>
        <v>4067.7000000000003</v>
      </c>
      <c r="M481" s="49">
        <f>ROUND((3942*$T$1),0)*1.05</f>
        <v>4139.1000000000004</v>
      </c>
      <c r="N481" s="49">
        <f>ROUND((4011*$T$1),0)*1.05</f>
        <v>4211.55</v>
      </c>
      <c r="O481" s="49">
        <f>ROUND((4053*$T$1),0)*1.05</f>
        <v>4255.6500000000005</v>
      </c>
      <c r="P481" s="49">
        <f>ROUND((4177*$T$1),0)*1.05</f>
        <v>4385.8500000000004</v>
      </c>
      <c r="Q481" s="49">
        <f>ROUND((4383*$T$1),0)*1.05</f>
        <v>4602.1500000000005</v>
      </c>
    </row>
    <row r="482" spans="1:21" ht="15" customHeight="1" x14ac:dyDescent="0.3">
      <c r="A482" s="42"/>
      <c r="B482" s="43" t="s">
        <v>76</v>
      </c>
      <c r="C482" s="44" t="s">
        <v>45</v>
      </c>
      <c r="D482" s="47">
        <v>1.82</v>
      </c>
      <c r="E482" s="46" t="s">
        <v>47</v>
      </c>
      <c r="F482" s="47">
        <v>1.2</v>
      </c>
      <c r="G482" s="46" t="s">
        <v>48</v>
      </c>
      <c r="H482" s="57">
        <v>0.92</v>
      </c>
      <c r="I482" s="48">
        <v>11</v>
      </c>
      <c r="J482" s="49">
        <f>ROUND((3927*$T$1),0)*1.05</f>
        <v>4123.3500000000004</v>
      </c>
      <c r="K482" s="49">
        <f>ROUND((4363*$T$1),0)*1.05</f>
        <v>4581.1500000000005</v>
      </c>
      <c r="L482" s="49">
        <f>ROUND((4430*$T$1),0)*1.05</f>
        <v>4651.5</v>
      </c>
      <c r="M482" s="49">
        <f>ROUND((4507*$T$1),0)*1.05</f>
        <v>4732.3500000000004</v>
      </c>
      <c r="N482" s="49">
        <f>ROUND((4584*$T$1),0)*1.05</f>
        <v>4813.2</v>
      </c>
      <c r="O482" s="49">
        <f>ROUND((4630*$T$1),0)*1.05</f>
        <v>4861.5</v>
      </c>
      <c r="P482" s="49">
        <f>ROUND((4769*$T$1),0)*1.05</f>
        <v>5007.45</v>
      </c>
      <c r="Q482" s="49">
        <f>ROUND((4999*$T$1),0)*1.05</f>
        <v>5248.95</v>
      </c>
    </row>
    <row r="483" spans="1:21" ht="15" customHeight="1" x14ac:dyDescent="0.3">
      <c r="A483" s="42"/>
      <c r="B483" s="43" t="s">
        <v>94</v>
      </c>
      <c r="C483" s="44" t="s">
        <v>45</v>
      </c>
      <c r="D483" s="47">
        <v>1.4</v>
      </c>
      <c r="E483" s="46" t="s">
        <v>47</v>
      </c>
      <c r="F483" s="47">
        <v>1.6</v>
      </c>
      <c r="G483" s="46" t="s">
        <v>48</v>
      </c>
      <c r="H483" s="57">
        <v>0.92</v>
      </c>
      <c r="I483" s="55">
        <v>12.6</v>
      </c>
      <c r="J483" s="56">
        <f>ROUND((4477*$T$1),0)*1.05</f>
        <v>4700.8500000000004</v>
      </c>
      <c r="K483" s="56">
        <f>ROUND((4974*$T$1),0)*1.05</f>
        <v>5222.7</v>
      </c>
      <c r="L483" s="56">
        <f>ROUND((5050*$T$1),0)*1.05</f>
        <v>5302.5</v>
      </c>
      <c r="M483" s="56">
        <f>ROUND((5138*$T$1),0)*1.05</f>
        <v>5394.9000000000005</v>
      </c>
      <c r="N483" s="56">
        <f>ROUND((5226*$T$1),0)*1.05</f>
        <v>5487.3</v>
      </c>
      <c r="O483" s="56">
        <f>ROUND((5279*$T$1),0)*1.05</f>
        <v>5542.95</v>
      </c>
      <c r="P483" s="56">
        <f>ROUND((5437*$T$1),0)*1.05</f>
        <v>5708.85</v>
      </c>
      <c r="Q483" s="56">
        <f>ROUND((5699*$T$1),0)*1.05</f>
        <v>5983.95</v>
      </c>
    </row>
    <row r="484" spans="1:21" ht="15" customHeight="1" x14ac:dyDescent="0.3">
      <c r="A484" s="42"/>
      <c r="B484" s="43" t="s">
        <v>96</v>
      </c>
      <c r="C484" s="44" t="s">
        <v>45</v>
      </c>
      <c r="D484" s="47">
        <v>1.2</v>
      </c>
      <c r="E484" s="46" t="s">
        <v>47</v>
      </c>
      <c r="F484" s="47">
        <v>1.6</v>
      </c>
      <c r="G484" s="46" t="s">
        <v>48</v>
      </c>
      <c r="H484" s="57">
        <v>0.92</v>
      </c>
      <c r="I484" s="55">
        <v>12.4</v>
      </c>
      <c r="J484" s="56">
        <f>ROUND((4387*$T$1),0)*1.05</f>
        <v>4606.3500000000004</v>
      </c>
      <c r="K484" s="56">
        <f>ROUND((4875*$T$1),0)*1.05</f>
        <v>5118.75</v>
      </c>
      <c r="L484" s="56">
        <f>ROUND((4948*$T$1),0)*1.05</f>
        <v>5195.4000000000005</v>
      </c>
      <c r="M484" s="56">
        <f>ROUND((5035*$T$1),0)*1.05</f>
        <v>5286.75</v>
      </c>
      <c r="N484" s="56">
        <f>ROUND((5121*$T$1),0)*1.05</f>
        <v>5377.05</v>
      </c>
      <c r="O484" s="56">
        <f>ROUND((5173*$T$1),0)*1.05</f>
        <v>5431.6500000000005</v>
      </c>
      <c r="P484" s="56">
        <f>ROUND((5328*$T$1),0)*1.05</f>
        <v>5594.4000000000005</v>
      </c>
      <c r="Q484" s="56">
        <f>ROUND((5584*$T$1),0)*1.05</f>
        <v>5863.2</v>
      </c>
    </row>
    <row r="485" spans="1:21" ht="15" customHeight="1" x14ac:dyDescent="0.3">
      <c r="A485" s="42"/>
      <c r="B485" s="43"/>
      <c r="C485" s="44"/>
      <c r="D485" s="45"/>
      <c r="E485" s="46"/>
      <c r="F485" s="47"/>
      <c r="G485" s="46"/>
      <c r="H485" s="47"/>
      <c r="I485" s="102"/>
      <c r="J485" s="87"/>
      <c r="K485" s="87"/>
      <c r="L485" s="87"/>
      <c r="M485" s="87"/>
      <c r="N485" s="87"/>
      <c r="O485" s="87"/>
      <c r="P485" s="87"/>
      <c r="Q485" s="87"/>
    </row>
    <row r="486" spans="1:21" ht="15" customHeight="1" x14ac:dyDescent="0.35">
      <c r="A486" s="42"/>
      <c r="B486" s="92" t="s">
        <v>123</v>
      </c>
      <c r="C486" s="44"/>
      <c r="D486" s="45"/>
      <c r="E486" s="46"/>
      <c r="F486" s="47"/>
      <c r="G486" s="46"/>
      <c r="H486" s="47"/>
      <c r="I486" s="102"/>
      <c r="J486" s="87"/>
      <c r="K486" s="87"/>
      <c r="L486" s="87"/>
      <c r="M486" s="87"/>
      <c r="N486" s="87"/>
      <c r="O486" s="87"/>
      <c r="P486" s="87"/>
      <c r="Q486" s="87"/>
    </row>
    <row r="487" spans="1:21" ht="15" customHeight="1" x14ac:dyDescent="0.3">
      <c r="A487" s="42"/>
      <c r="B487" s="43"/>
      <c r="C487" s="44"/>
      <c r="D487" s="45"/>
      <c r="E487" s="46"/>
      <c r="F487" s="47"/>
      <c r="G487" s="46"/>
      <c r="H487" s="47"/>
      <c r="I487" s="102"/>
      <c r="J487" s="87"/>
      <c r="K487" s="87"/>
      <c r="L487" s="87"/>
      <c r="M487" s="87"/>
      <c r="N487" s="87"/>
      <c r="O487" s="87"/>
      <c r="P487" s="87"/>
      <c r="Q487" s="87"/>
    </row>
    <row r="488" spans="1:21" ht="15" customHeight="1" x14ac:dyDescent="0.3">
      <c r="A488" s="42"/>
      <c r="B488" s="59" t="s">
        <v>351</v>
      </c>
      <c r="C488" s="60"/>
      <c r="D488" s="59"/>
      <c r="E488" s="59"/>
      <c r="F488" s="59"/>
      <c r="G488" s="59"/>
      <c r="H488" s="59"/>
      <c r="I488" s="61"/>
      <c r="J488" s="62"/>
      <c r="K488" s="62"/>
      <c r="L488" s="62"/>
      <c r="M488" s="62"/>
      <c r="N488" s="62"/>
      <c r="O488" s="62"/>
      <c r="P488" s="62"/>
      <c r="Q488" s="62"/>
    </row>
    <row r="489" spans="1:21" ht="15" customHeight="1" x14ac:dyDescent="0.3">
      <c r="A489" s="42"/>
      <c r="B489" s="63"/>
      <c r="C489" s="64"/>
      <c r="D489" s="65"/>
      <c r="E489" s="49"/>
      <c r="F489" s="66"/>
      <c r="G489" s="48"/>
      <c r="H489" s="66"/>
      <c r="I489" s="48"/>
      <c r="J489" s="49"/>
      <c r="K489" s="49"/>
      <c r="L489" s="49"/>
      <c r="M489" s="49"/>
      <c r="N489" s="49"/>
      <c r="O489" s="49"/>
      <c r="P489" s="49"/>
      <c r="Q489" s="49"/>
    </row>
    <row r="490" spans="1:21" ht="29.1" customHeight="1" x14ac:dyDescent="0.25">
      <c r="A490" s="189" t="s">
        <v>352</v>
      </c>
      <c r="B490" s="189"/>
      <c r="C490" s="187" t="s">
        <v>41</v>
      </c>
      <c r="D490" s="187"/>
      <c r="E490" s="187"/>
      <c r="F490" s="187"/>
      <c r="G490" s="187"/>
      <c r="H490" s="187"/>
      <c r="I490" s="78" t="s">
        <v>42</v>
      </c>
      <c r="J490" s="41" t="s">
        <v>43</v>
      </c>
      <c r="K490" s="41">
        <v>1000</v>
      </c>
      <c r="L490" s="41">
        <v>2000</v>
      </c>
      <c r="M490" s="41">
        <v>3000</v>
      </c>
      <c r="N490" s="41">
        <v>4000</v>
      </c>
      <c r="O490" s="41">
        <v>5000</v>
      </c>
      <c r="P490" s="41">
        <v>6000</v>
      </c>
      <c r="Q490" s="41">
        <v>7000</v>
      </c>
    </row>
    <row r="491" spans="1:21" ht="18.75" x14ac:dyDescent="0.3">
      <c r="A491" s="42"/>
      <c r="B491" s="43" t="s">
        <v>353</v>
      </c>
      <c r="C491" s="44" t="s">
        <v>45</v>
      </c>
      <c r="D491" s="47">
        <v>1.85</v>
      </c>
      <c r="E491" s="46" t="s">
        <v>47</v>
      </c>
      <c r="F491" s="47">
        <v>1</v>
      </c>
      <c r="G491" s="46" t="s">
        <v>48</v>
      </c>
      <c r="H491" s="47">
        <v>0.8</v>
      </c>
      <c r="I491" s="48">
        <v>6.5</v>
      </c>
      <c r="J491" s="49">
        <f>ROUND((4917*$T$1),0)*1.05</f>
        <v>5162.8500000000004</v>
      </c>
      <c r="K491" s="49">
        <f>ROUND((5231*$T$1),0)*1.05</f>
        <v>5492.55</v>
      </c>
      <c r="L491" s="49">
        <f>ROUND((5377*$T$1),0)*1.05</f>
        <v>5645.85</v>
      </c>
      <c r="M491" s="49">
        <f>ROUND((5525*$T$1),0)*1.05</f>
        <v>5801.25</v>
      </c>
      <c r="N491" s="49">
        <f>ROUND((5671*$T$1),0)*1.05</f>
        <v>5954.55</v>
      </c>
      <c r="O491" s="49">
        <f>ROUND((5818*$T$1),0)*1.05</f>
        <v>6108.9000000000005</v>
      </c>
      <c r="P491" s="49">
        <f>ROUND((5965*$T$1),0)*1.05</f>
        <v>6263.25</v>
      </c>
      <c r="Q491" s="49">
        <f>ROUND((6112*$T$1),0)*1.05</f>
        <v>6417.6</v>
      </c>
      <c r="R491" s="33"/>
      <c r="S491" s="33"/>
      <c r="T491" s="33"/>
      <c r="U491" s="33"/>
    </row>
    <row r="492" spans="1:21" ht="18.75" x14ac:dyDescent="0.3">
      <c r="A492" s="42"/>
      <c r="B492" s="43" t="s">
        <v>354</v>
      </c>
      <c r="C492" s="44" t="s">
        <v>45</v>
      </c>
      <c r="D492" s="47">
        <v>2.0499999999999998</v>
      </c>
      <c r="E492" s="46" t="s">
        <v>47</v>
      </c>
      <c r="F492" s="47">
        <v>1</v>
      </c>
      <c r="G492" s="46" t="s">
        <v>48</v>
      </c>
      <c r="H492" s="47">
        <v>0.8</v>
      </c>
      <c r="I492" s="48">
        <v>7</v>
      </c>
      <c r="J492" s="49">
        <f>ROUND((4773*$T$1),0)*1.05</f>
        <v>5011.6500000000005</v>
      </c>
      <c r="K492" s="49">
        <f>ROUND((5506*$T$1),0)*1.05</f>
        <v>5781.3</v>
      </c>
      <c r="L492" s="49">
        <f>ROUND((5660*$T$1),0)*1.05</f>
        <v>5943</v>
      </c>
      <c r="M492" s="49">
        <f>ROUND((5816*$T$1),0)*1.05</f>
        <v>6106.8</v>
      </c>
      <c r="N492" s="49">
        <f>ROUND((5971*$T$1),0)*1.05</f>
        <v>6269.55</v>
      </c>
      <c r="O492" s="49">
        <f>ROUND((6125*$T$1),0)*1.05</f>
        <v>6431.25</v>
      </c>
      <c r="P492" s="49">
        <f>ROUND((6280*$T$1),0)*1.05</f>
        <v>6594</v>
      </c>
      <c r="Q492" s="49">
        <f>ROUND((6435*$T$1),0)*1.05</f>
        <v>6756.75</v>
      </c>
      <c r="R492" s="33"/>
      <c r="S492" s="33"/>
      <c r="T492" s="33"/>
      <c r="U492" s="33"/>
    </row>
    <row r="493" spans="1:21" ht="18.75" x14ac:dyDescent="0.3">
      <c r="A493" s="42"/>
      <c r="B493" s="43" t="s">
        <v>355</v>
      </c>
      <c r="C493" s="44" t="s">
        <v>45</v>
      </c>
      <c r="D493" s="47">
        <v>2.25</v>
      </c>
      <c r="E493" s="46" t="s">
        <v>47</v>
      </c>
      <c r="F493" s="47">
        <v>1</v>
      </c>
      <c r="G493" s="46" t="s">
        <v>48</v>
      </c>
      <c r="H493" s="47">
        <v>0.8</v>
      </c>
      <c r="I493" s="48">
        <v>7.5</v>
      </c>
      <c r="J493" s="49">
        <f>ROUND((5449*$T$1),0)*1.05</f>
        <v>5721.45</v>
      </c>
      <c r="K493" s="49">
        <f>ROUND((5796*$T$1),0)*1.05</f>
        <v>6085.8</v>
      </c>
      <c r="L493" s="49">
        <f>ROUND((5928*$T$1),0)*1.05</f>
        <v>6224.4000000000005</v>
      </c>
      <c r="M493" s="49">
        <f>ROUND((6120*$T$1),0)*1.05</f>
        <v>6426</v>
      </c>
      <c r="N493" s="49">
        <f>ROUND((6284*$T$1),0)*1.05</f>
        <v>6598.2000000000007</v>
      </c>
      <c r="O493" s="49">
        <f>ROUND((6447*$T$1),0)*1.05</f>
        <v>6769.35</v>
      </c>
      <c r="P493" s="49">
        <f>ROUND((6610*$T$1),0)*1.05</f>
        <v>6940.5</v>
      </c>
      <c r="Q493" s="49">
        <f>ROUND((6774*$T$1),0)*1.05</f>
        <v>7112.7000000000007</v>
      </c>
      <c r="R493" s="33"/>
      <c r="S493" s="33"/>
      <c r="T493" s="33"/>
      <c r="U493" s="33"/>
    </row>
    <row r="494" spans="1:21" ht="18.75" x14ac:dyDescent="0.3">
      <c r="A494" s="42"/>
      <c r="B494" s="43" t="s">
        <v>356</v>
      </c>
      <c r="C494" s="44" t="s">
        <v>45</v>
      </c>
      <c r="D494" s="47">
        <v>2.4500000000000002</v>
      </c>
      <c r="E494" s="46" t="s">
        <v>47</v>
      </c>
      <c r="F494" s="47">
        <v>1</v>
      </c>
      <c r="G494" s="46" t="s">
        <v>48</v>
      </c>
      <c r="H494" s="47">
        <v>0.8</v>
      </c>
      <c r="I494" s="48">
        <v>8</v>
      </c>
      <c r="J494" s="49">
        <f>ROUND((5735*$T$1),0)*1.05</f>
        <v>6021.75</v>
      </c>
      <c r="K494" s="49">
        <f>ROUND((4951*$T$1),0)*1.05</f>
        <v>5198.55</v>
      </c>
      <c r="L494" s="49">
        <f>ROUND((6101*$T$1),0)*1.05</f>
        <v>6406.05</v>
      </c>
      <c r="M494" s="49">
        <f>ROUND((6443*$T$1),0)*1.05</f>
        <v>6765.1500000000005</v>
      </c>
      <c r="N494" s="49">
        <f>ROUND((6615*$T$1),0)*1.05</f>
        <v>6945.75</v>
      </c>
      <c r="O494" s="49">
        <f>ROUND((6785*$T$1),0)*1.05</f>
        <v>7124.25</v>
      </c>
      <c r="P494" s="49">
        <f>ROUND((6956*$T$1),0)*1.05</f>
        <v>7303.8</v>
      </c>
      <c r="Q494" s="49">
        <f>ROUND((7128*$T$1),0)*1.05</f>
        <v>7484.4000000000005</v>
      </c>
      <c r="R494" s="33"/>
      <c r="S494" s="33"/>
      <c r="T494" s="33"/>
      <c r="U494" s="33"/>
    </row>
    <row r="495" spans="1:21" ht="18.75" x14ac:dyDescent="0.3">
      <c r="A495" s="42"/>
      <c r="B495" s="44"/>
      <c r="C495" s="44"/>
      <c r="D495" s="47"/>
      <c r="E495" s="46"/>
      <c r="F495" s="47"/>
      <c r="G495" s="46"/>
      <c r="H495" s="47"/>
      <c r="I495" s="48"/>
      <c r="J495" s="49"/>
      <c r="K495" s="49"/>
      <c r="L495" s="49"/>
      <c r="M495" s="49"/>
      <c r="N495" s="49"/>
      <c r="O495" s="49"/>
      <c r="P495" s="49"/>
      <c r="Q495" s="49"/>
      <c r="R495" s="33"/>
      <c r="S495" s="33"/>
      <c r="T495" s="33"/>
      <c r="U495" s="33"/>
    </row>
    <row r="496" spans="1:21" ht="15" customHeight="1" x14ac:dyDescent="0.3">
      <c r="A496" s="42"/>
      <c r="B496" s="43" t="s">
        <v>357</v>
      </c>
      <c r="C496" s="44" t="s">
        <v>45</v>
      </c>
      <c r="D496" s="47">
        <v>1.25</v>
      </c>
      <c r="E496" s="46" t="s">
        <v>47</v>
      </c>
      <c r="F496" s="47">
        <v>1</v>
      </c>
      <c r="G496" s="46" t="s">
        <v>48</v>
      </c>
      <c r="H496" s="47">
        <v>0.8</v>
      </c>
      <c r="I496" s="48">
        <v>4</v>
      </c>
      <c r="J496" s="49">
        <f>ROUND((4033*$T$1),0)*1.05</f>
        <v>4234.6500000000005</v>
      </c>
      <c r="K496" s="49">
        <f>ROUND((4290*$T$1),0)*1.05</f>
        <v>4504.5</v>
      </c>
      <c r="L496" s="49">
        <f>ROUND((4361*$T$1),0)*1.05</f>
        <v>4579.05</v>
      </c>
      <c r="M496" s="49">
        <f>ROUND((4430*$T$1),0)*1.05</f>
        <v>4651.5</v>
      </c>
      <c r="N496" s="49">
        <f>ROUND((4501*$T$1),0)*1.05</f>
        <v>4726.05</v>
      </c>
      <c r="O496" s="49">
        <f>ROUND((4572*$T$1),0)*1.05</f>
        <v>4800.6000000000004</v>
      </c>
      <c r="P496" s="49">
        <f>ROUND((4644*$T$1),0)*1.05</f>
        <v>4876.2</v>
      </c>
      <c r="Q496" s="49">
        <f>ROUND((4715*$T$1),0)*1.05</f>
        <v>4950.75</v>
      </c>
      <c r="R496" s="33"/>
      <c r="S496" s="33"/>
      <c r="T496" s="33"/>
      <c r="U496" s="33"/>
    </row>
    <row r="497" spans="1:21" ht="15" customHeight="1" x14ac:dyDescent="0.3">
      <c r="A497" s="42"/>
      <c r="B497" s="43"/>
      <c r="C497" s="44"/>
      <c r="D497" s="47"/>
      <c r="E497" s="46"/>
      <c r="F497" s="47"/>
      <c r="G497" s="46"/>
      <c r="H497" s="47"/>
      <c r="I497" s="48"/>
      <c r="J497" s="49"/>
      <c r="K497" s="49"/>
      <c r="L497" s="49"/>
      <c r="M497" s="49"/>
      <c r="N497" s="49"/>
      <c r="O497" s="49"/>
      <c r="P497" s="49"/>
      <c r="Q497" s="49"/>
      <c r="R497" s="33"/>
      <c r="S497" s="33"/>
      <c r="T497" s="33"/>
      <c r="U497" s="33"/>
    </row>
    <row r="498" spans="1:21" ht="15" customHeight="1" x14ac:dyDescent="0.3">
      <c r="A498" s="42"/>
      <c r="B498" s="44"/>
      <c r="C498" s="44"/>
      <c r="D498" s="47"/>
      <c r="E498" s="46"/>
      <c r="F498" s="47"/>
      <c r="G498" s="46"/>
      <c r="H498" s="47"/>
      <c r="I498" s="57"/>
      <c r="J498" s="58"/>
      <c r="K498" s="58"/>
      <c r="L498" s="58"/>
      <c r="M498" s="87" t="s">
        <v>134</v>
      </c>
      <c r="N498" s="58"/>
      <c r="O498" s="58"/>
      <c r="P498" s="58"/>
      <c r="Q498" s="58"/>
    </row>
    <row r="499" spans="1:21" ht="15" customHeight="1" x14ac:dyDescent="0.3">
      <c r="A499" s="42"/>
      <c r="B499" s="59" t="s">
        <v>358</v>
      </c>
      <c r="C499" s="60"/>
      <c r="D499" s="59"/>
      <c r="E499" s="59"/>
      <c r="F499" s="59"/>
      <c r="G499" s="59"/>
      <c r="H499" s="59"/>
      <c r="I499" s="61"/>
      <c r="J499" s="62"/>
      <c r="K499" s="62"/>
      <c r="L499" s="62"/>
      <c r="M499" s="62"/>
      <c r="N499" s="62"/>
      <c r="O499" s="62"/>
      <c r="P499" s="62"/>
      <c r="Q499" s="62"/>
    </row>
    <row r="500" spans="1:21" ht="15" customHeight="1" x14ac:dyDescent="0.3">
      <c r="A500" s="67"/>
      <c r="B500" s="68"/>
      <c r="C500" s="84"/>
      <c r="D500" s="72"/>
      <c r="E500" s="73"/>
      <c r="F500" s="72"/>
      <c r="G500" s="73"/>
      <c r="H500" s="72"/>
      <c r="I500" s="74"/>
      <c r="J500" s="75"/>
      <c r="K500" s="75"/>
      <c r="L500" s="75"/>
      <c r="M500" s="75"/>
      <c r="N500" s="75"/>
      <c r="O500" s="75"/>
      <c r="P500" s="75"/>
      <c r="Q500" s="75"/>
    </row>
    <row r="501" spans="1:21" ht="31.5" customHeight="1" x14ac:dyDescent="0.25">
      <c r="A501" s="89" t="s">
        <v>359</v>
      </c>
      <c r="B501" s="77"/>
      <c r="C501" s="187" t="s">
        <v>41</v>
      </c>
      <c r="D501" s="187"/>
      <c r="E501" s="187"/>
      <c r="F501" s="187"/>
      <c r="G501" s="187"/>
      <c r="H501" s="187"/>
      <c r="I501" s="78" t="s">
        <v>42</v>
      </c>
      <c r="J501" s="41" t="s">
        <v>43</v>
      </c>
      <c r="K501" s="41">
        <v>1000</v>
      </c>
      <c r="L501" s="41">
        <v>2000</v>
      </c>
      <c r="M501" s="41">
        <v>3000</v>
      </c>
      <c r="N501" s="41">
        <v>4000</v>
      </c>
      <c r="O501" s="41">
        <v>5000</v>
      </c>
      <c r="P501" s="41">
        <v>6000</v>
      </c>
      <c r="Q501" s="41">
        <v>7000</v>
      </c>
    </row>
    <row r="502" spans="1:21" ht="15" customHeight="1" x14ac:dyDescent="0.3">
      <c r="A502" s="42"/>
      <c r="B502" s="43" t="s">
        <v>292</v>
      </c>
      <c r="C502" s="44" t="s">
        <v>45</v>
      </c>
      <c r="D502" s="47">
        <v>0.94</v>
      </c>
      <c r="E502" s="46" t="s">
        <v>47</v>
      </c>
      <c r="F502" s="47">
        <v>0.8</v>
      </c>
      <c r="G502" s="46" t="s">
        <v>48</v>
      </c>
      <c r="H502" s="47">
        <v>0.82</v>
      </c>
      <c r="I502" s="48">
        <v>4</v>
      </c>
      <c r="J502" s="49">
        <f>ROUND((2347*$T$1),0)*1.05</f>
        <v>2464.35</v>
      </c>
      <c r="K502" s="49">
        <f>ROUND((2608*$T$1),0)*1.05</f>
        <v>2738.4</v>
      </c>
      <c r="L502" s="49">
        <f>ROUND((2636*$T$1),0)*1.05</f>
        <v>2767.8</v>
      </c>
      <c r="M502" s="49">
        <f>ROUND((2667*$T$1),0)*1.05</f>
        <v>2800.35</v>
      </c>
      <c r="N502" s="49">
        <f>ROUND((2698*$T$1),0)*1.05</f>
        <v>2832.9</v>
      </c>
      <c r="O502" s="49">
        <f>ROUND((2717*$T$1),0)*1.05</f>
        <v>2852.85</v>
      </c>
      <c r="P502" s="49">
        <f>ROUND((2774*$T$1),0)*1.05</f>
        <v>2912.7000000000003</v>
      </c>
      <c r="Q502" s="49">
        <f>ROUND((2868*$T$1),0)*1.05</f>
        <v>3011.4</v>
      </c>
    </row>
    <row r="503" spans="1:21" ht="15" customHeight="1" x14ac:dyDescent="0.3">
      <c r="A503" s="42"/>
      <c r="B503" s="50" t="s">
        <v>360</v>
      </c>
      <c r="C503" s="44" t="s">
        <v>45</v>
      </c>
      <c r="D503" s="47">
        <v>0.7</v>
      </c>
      <c r="E503" s="46" t="s">
        <v>47</v>
      </c>
      <c r="F503" s="47">
        <v>0.7</v>
      </c>
      <c r="G503" s="46" t="s">
        <v>48</v>
      </c>
      <c r="H503" s="47">
        <v>0.82</v>
      </c>
      <c r="I503" s="48">
        <v>3</v>
      </c>
      <c r="J503" s="49">
        <f>ROUND((1540*$T$1),0)*1.05</f>
        <v>1617</v>
      </c>
      <c r="K503" s="49">
        <f>ROUND((1711*$T$1),0)*1.05</f>
        <v>1796.5500000000002</v>
      </c>
      <c r="L503" s="49">
        <f>ROUND((1727*$T$1),0)*1.05</f>
        <v>1813.3500000000001</v>
      </c>
      <c r="M503" s="49">
        <f>ROUND((1746*$T$1),0)*1.05</f>
        <v>1833.3000000000002</v>
      </c>
      <c r="N503" s="49">
        <f>ROUND((1764*$T$1),0)*1.05</f>
        <v>1852.2</v>
      </c>
      <c r="O503" s="49">
        <f>ROUND((1776*$T$1),0)*1.05</f>
        <v>1864.8000000000002</v>
      </c>
      <c r="P503" s="49">
        <f>ROUND((1809*$T$1),0)*1.05</f>
        <v>1899.45</v>
      </c>
      <c r="Q503" s="49">
        <f>ROUND((1864*$T$1),0)*1.05</f>
        <v>1957.2</v>
      </c>
    </row>
    <row r="504" spans="1:21" ht="15" customHeight="1" x14ac:dyDescent="0.3">
      <c r="A504" s="42"/>
      <c r="B504" s="43"/>
      <c r="C504" s="44"/>
      <c r="D504" s="47"/>
      <c r="E504" s="46"/>
      <c r="F504" s="47"/>
      <c r="G504" s="46"/>
      <c r="H504" s="47"/>
      <c r="I504" s="48"/>
      <c r="J504" s="49"/>
      <c r="K504" s="49"/>
      <c r="L504" s="49"/>
      <c r="M504" s="49"/>
      <c r="N504" s="49"/>
      <c r="O504" s="49"/>
      <c r="P504" s="49"/>
      <c r="Q504" s="49"/>
    </row>
    <row r="505" spans="1:21" ht="15" customHeight="1" x14ac:dyDescent="0.3">
      <c r="A505" s="42"/>
      <c r="B505" s="43"/>
      <c r="C505" s="44"/>
      <c r="D505" s="47"/>
      <c r="E505" s="46"/>
      <c r="F505" s="47"/>
      <c r="G505" s="46"/>
      <c r="H505" s="47"/>
      <c r="I505" s="57"/>
      <c r="J505" s="58"/>
      <c r="K505" s="58"/>
      <c r="L505" s="58"/>
      <c r="M505" s="58"/>
      <c r="N505" s="58"/>
      <c r="O505" s="58"/>
      <c r="P505" s="58"/>
      <c r="Q505" s="58"/>
    </row>
    <row r="506" spans="1:21" ht="15" customHeight="1" x14ac:dyDescent="0.3">
      <c r="A506" s="42"/>
      <c r="B506" s="43"/>
      <c r="C506" s="44"/>
      <c r="D506" s="47"/>
      <c r="E506" s="46"/>
      <c r="F506" s="47"/>
      <c r="G506" s="46"/>
      <c r="H506" s="47"/>
      <c r="I506" s="48"/>
      <c r="J506" s="49"/>
      <c r="K506" s="49"/>
      <c r="L506" s="49"/>
      <c r="M506" s="49"/>
      <c r="N506" s="49"/>
      <c r="O506" s="49"/>
      <c r="P506" s="49"/>
      <c r="Q506" s="49"/>
    </row>
    <row r="507" spans="1:21" ht="15" customHeight="1" x14ac:dyDescent="0.3">
      <c r="A507" s="42"/>
      <c r="B507" s="43"/>
      <c r="C507" s="121"/>
    </row>
    <row r="508" spans="1:21" ht="15" customHeight="1" x14ac:dyDescent="0.3">
      <c r="A508" s="42"/>
      <c r="B508" s="43"/>
      <c r="C508" s="44"/>
      <c r="D508" s="47"/>
      <c r="E508" s="46"/>
      <c r="F508" s="47"/>
      <c r="G508" s="46"/>
      <c r="H508" s="47"/>
      <c r="I508" s="46"/>
      <c r="J508" s="125"/>
      <c r="K508" s="125"/>
      <c r="L508" s="125"/>
      <c r="M508" s="125"/>
      <c r="N508" s="125"/>
      <c r="O508" s="125"/>
      <c r="P508" s="125"/>
      <c r="Q508" s="125"/>
    </row>
    <row r="509" spans="1:21" ht="15" customHeight="1" x14ac:dyDescent="0.3">
      <c r="A509" s="42"/>
      <c r="B509" s="118" t="s">
        <v>308</v>
      </c>
      <c r="C509" s="44"/>
      <c r="D509" s="47"/>
      <c r="E509" s="46"/>
      <c r="F509" s="47"/>
      <c r="G509" s="46"/>
      <c r="H509" s="47"/>
      <c r="I509" s="46"/>
      <c r="J509" s="125"/>
      <c r="K509" s="125"/>
      <c r="L509" s="125"/>
      <c r="M509" s="125"/>
      <c r="N509" s="125"/>
      <c r="O509" s="125"/>
      <c r="P509" s="125"/>
      <c r="Q509" s="125"/>
    </row>
    <row r="510" spans="1:21" ht="15" customHeight="1" x14ac:dyDescent="0.3">
      <c r="A510" s="42"/>
      <c r="B510" s="43"/>
      <c r="C510" s="44"/>
      <c r="D510" s="47"/>
      <c r="E510" s="46"/>
      <c r="F510" s="47"/>
      <c r="G510" s="46"/>
      <c r="H510" s="47"/>
      <c r="I510" s="57"/>
      <c r="J510" s="58"/>
      <c r="K510" s="58"/>
      <c r="L510" s="58"/>
      <c r="M510" s="58"/>
      <c r="N510" s="58"/>
      <c r="O510" s="58"/>
      <c r="P510" s="58"/>
      <c r="Q510" s="58"/>
    </row>
    <row r="511" spans="1:21" ht="15" customHeight="1" x14ac:dyDescent="0.3">
      <c r="A511" s="42"/>
      <c r="B511" s="59" t="s">
        <v>124</v>
      </c>
      <c r="C511" s="60"/>
      <c r="D511" s="59"/>
      <c r="E511" s="59"/>
      <c r="F511" s="59"/>
      <c r="G511" s="59"/>
      <c r="H511" s="59"/>
      <c r="I511" s="61"/>
      <c r="J511" s="62"/>
      <c r="K511" s="62"/>
      <c r="L511" s="62"/>
      <c r="M511" s="62"/>
      <c r="N511" s="62"/>
      <c r="O511" s="62"/>
      <c r="P511" s="62"/>
      <c r="Q511" s="62"/>
    </row>
    <row r="512" spans="1:21" ht="15" customHeight="1" x14ac:dyDescent="0.3">
      <c r="A512" s="42"/>
      <c r="B512" s="63"/>
      <c r="C512" s="64"/>
      <c r="D512" s="65"/>
      <c r="E512" s="49"/>
      <c r="F512" s="66"/>
      <c r="G512" s="48"/>
      <c r="H512" s="66"/>
      <c r="I512" s="48"/>
      <c r="J512" s="49"/>
      <c r="K512" s="49"/>
      <c r="L512" s="49"/>
      <c r="M512" s="49"/>
      <c r="N512" s="49"/>
      <c r="O512" s="49"/>
      <c r="P512" s="49"/>
      <c r="Q512" s="49"/>
    </row>
    <row r="513" spans="1:17" ht="31.5" customHeight="1" x14ac:dyDescent="0.25">
      <c r="A513" s="89" t="s">
        <v>361</v>
      </c>
      <c r="B513" s="77"/>
      <c r="C513" s="187" t="s">
        <v>41</v>
      </c>
      <c r="D513" s="187"/>
      <c r="E513" s="187"/>
      <c r="F513" s="187"/>
      <c r="G513" s="187"/>
      <c r="H513" s="187"/>
      <c r="I513" s="78" t="s">
        <v>42</v>
      </c>
      <c r="J513" s="41" t="s">
        <v>43</v>
      </c>
      <c r="K513" s="41">
        <v>1000</v>
      </c>
      <c r="L513" s="41">
        <v>2000</v>
      </c>
      <c r="M513" s="41">
        <v>3000</v>
      </c>
      <c r="N513" s="41">
        <v>4000</v>
      </c>
      <c r="O513" s="41">
        <v>5000</v>
      </c>
      <c r="P513" s="41">
        <v>6000</v>
      </c>
      <c r="Q513" s="41">
        <v>7000</v>
      </c>
    </row>
    <row r="514" spans="1:17" ht="15" customHeight="1" x14ac:dyDescent="0.3">
      <c r="A514" s="42"/>
      <c r="B514" s="43" t="s">
        <v>362</v>
      </c>
      <c r="C514" s="44" t="s">
        <v>45</v>
      </c>
      <c r="D514" s="47">
        <v>0.82</v>
      </c>
      <c r="E514" s="46" t="s">
        <v>47</v>
      </c>
      <c r="F514" s="47">
        <v>0.84</v>
      </c>
      <c r="G514" s="46" t="s">
        <v>48</v>
      </c>
      <c r="H514" s="47">
        <v>0.76</v>
      </c>
      <c r="I514" s="48">
        <v>5</v>
      </c>
      <c r="J514" s="49">
        <f>ROUND((1950*$T$1),0)*1.05</f>
        <v>2047.5</v>
      </c>
      <c r="K514" s="49">
        <f>ROUND((2167*$T$1),0)*1.05</f>
        <v>2275.35</v>
      </c>
      <c r="L514" s="49">
        <f>ROUND((2200*$T$1),0)*1.05</f>
        <v>2310</v>
      </c>
      <c r="M514" s="49">
        <f>ROUND((2238*$T$1),0)*1.05</f>
        <v>2349.9</v>
      </c>
      <c r="N514" s="49">
        <f>ROUND((2277*$T$1),0)*1.05</f>
        <v>2390.85</v>
      </c>
      <c r="O514" s="49">
        <f>ROUND((2300*$T$1),0)*1.05</f>
        <v>2415</v>
      </c>
      <c r="P514" s="49">
        <f>ROUND((2369*$T$1),0)*1.05</f>
        <v>2487.4500000000003</v>
      </c>
      <c r="Q514" s="49">
        <f>ROUND((2484*$T$1),0)*1.05</f>
        <v>2608.2000000000003</v>
      </c>
    </row>
    <row r="515" spans="1:17" ht="15" customHeight="1" x14ac:dyDescent="0.3">
      <c r="A515" s="42"/>
      <c r="B515" s="50"/>
      <c r="C515" s="51"/>
      <c r="D515" s="54"/>
      <c r="E515" s="53"/>
      <c r="F515" s="54"/>
      <c r="G515" s="53"/>
      <c r="H515" s="54"/>
      <c r="I515" s="55"/>
      <c r="J515" s="56"/>
      <c r="K515" s="56"/>
      <c r="L515" s="56"/>
      <c r="M515" s="56"/>
      <c r="N515" s="56"/>
      <c r="O515" s="56"/>
      <c r="P515" s="56"/>
      <c r="Q515" s="56"/>
    </row>
    <row r="516" spans="1:17" ht="15" customHeight="1" x14ac:dyDescent="0.3">
      <c r="A516" s="42"/>
      <c r="B516" s="50"/>
      <c r="C516" s="51"/>
      <c r="D516" s="54"/>
      <c r="E516" s="53"/>
      <c r="F516" s="54"/>
      <c r="G516" s="53"/>
      <c r="H516" s="54"/>
      <c r="I516" s="55"/>
      <c r="J516" s="56"/>
      <c r="K516" s="56"/>
      <c r="L516" s="56"/>
      <c r="M516" s="56"/>
      <c r="N516" s="56"/>
      <c r="O516" s="56"/>
      <c r="P516" s="56"/>
      <c r="Q516" s="56"/>
    </row>
    <row r="517" spans="1:17" ht="15" customHeight="1" x14ac:dyDescent="0.3">
      <c r="A517" s="42"/>
      <c r="B517" s="50"/>
      <c r="C517" s="51"/>
      <c r="D517" s="54"/>
      <c r="E517" s="53"/>
      <c r="F517" s="54"/>
      <c r="G517" s="53"/>
      <c r="H517" s="54"/>
      <c r="I517" s="55"/>
      <c r="J517" s="56"/>
      <c r="K517" s="56"/>
      <c r="L517" s="56"/>
      <c r="M517" s="56"/>
      <c r="N517" s="56"/>
      <c r="O517" s="56"/>
      <c r="P517" s="56"/>
      <c r="Q517" s="56"/>
    </row>
    <row r="518" spans="1:17" ht="15" customHeight="1" x14ac:dyDescent="0.3">
      <c r="A518" s="42"/>
      <c r="B518" s="97"/>
      <c r="C518" s="44"/>
      <c r="D518" s="47"/>
      <c r="E518" s="46"/>
      <c r="F518" s="47"/>
      <c r="G518" s="46"/>
      <c r="H518" s="47"/>
      <c r="I518" s="48"/>
      <c r="J518" s="49"/>
      <c r="K518" s="49"/>
      <c r="L518" s="49"/>
      <c r="M518" s="49"/>
      <c r="N518" s="49"/>
      <c r="O518" s="49"/>
      <c r="P518" s="49"/>
      <c r="Q518" s="49"/>
    </row>
    <row r="519" spans="1:17" ht="15" customHeight="1" x14ac:dyDescent="0.3">
      <c r="A519" s="42"/>
      <c r="B519" s="43"/>
      <c r="C519" s="44"/>
      <c r="D519" s="47"/>
      <c r="E519" s="46"/>
      <c r="F519" s="47"/>
      <c r="G519" s="46"/>
      <c r="H519" s="47"/>
      <c r="I519" s="48"/>
      <c r="J519" s="49"/>
      <c r="K519" s="49"/>
      <c r="L519" s="49"/>
      <c r="M519" s="49"/>
      <c r="N519" s="49"/>
      <c r="O519" s="49"/>
      <c r="P519" s="49"/>
      <c r="Q519" s="49"/>
    </row>
    <row r="520" spans="1:17" ht="15" customHeight="1" x14ac:dyDescent="0.3">
      <c r="A520" s="42"/>
      <c r="B520" s="44"/>
      <c r="C520" s="44"/>
      <c r="D520" s="47"/>
      <c r="E520" s="46"/>
      <c r="F520" s="47"/>
      <c r="G520" s="46"/>
      <c r="H520" s="47"/>
      <c r="I520" s="48"/>
      <c r="J520" s="49"/>
      <c r="K520" s="49"/>
      <c r="L520" s="49"/>
      <c r="M520" s="49"/>
      <c r="N520" s="49"/>
      <c r="O520" s="49"/>
      <c r="P520" s="49"/>
      <c r="Q520" s="49"/>
    </row>
    <row r="521" spans="1:17" ht="15" customHeight="1" x14ac:dyDescent="0.3">
      <c r="A521" s="42"/>
      <c r="B521" s="44"/>
      <c r="C521" s="44"/>
      <c r="D521" s="47"/>
      <c r="E521" s="46"/>
      <c r="F521" s="47"/>
      <c r="G521" s="46"/>
      <c r="H521" s="47"/>
      <c r="I521" s="57"/>
      <c r="J521" s="58"/>
      <c r="K521" s="58"/>
      <c r="L521" s="58"/>
      <c r="M521" s="58"/>
      <c r="N521" s="58"/>
      <c r="O521" s="58"/>
      <c r="P521" s="58"/>
      <c r="Q521" s="58"/>
    </row>
    <row r="522" spans="1:17" ht="15" customHeight="1" x14ac:dyDescent="0.3">
      <c r="A522" s="42"/>
      <c r="B522" s="44"/>
      <c r="C522" s="44"/>
      <c r="D522" s="47"/>
      <c r="E522" s="46"/>
      <c r="F522" s="47"/>
      <c r="G522" s="46"/>
      <c r="H522" s="47"/>
      <c r="I522" s="57"/>
      <c r="J522" s="58"/>
      <c r="K522" s="58"/>
      <c r="L522" s="58"/>
      <c r="M522" s="58"/>
      <c r="N522" s="58"/>
      <c r="O522" s="58"/>
      <c r="P522" s="58"/>
      <c r="Q522" s="58"/>
    </row>
    <row r="523" spans="1:17" ht="15" customHeight="1" x14ac:dyDescent="0.3">
      <c r="A523" s="42"/>
      <c r="B523" s="44"/>
      <c r="C523" s="44"/>
      <c r="D523" s="47"/>
      <c r="E523" s="46"/>
      <c r="F523" s="47"/>
      <c r="G523" s="46"/>
      <c r="H523" s="47"/>
      <c r="I523" s="57"/>
      <c r="J523" s="58"/>
      <c r="K523" s="58"/>
      <c r="L523" s="58"/>
      <c r="M523" s="87" t="s">
        <v>134</v>
      </c>
      <c r="N523" s="58"/>
      <c r="O523" s="58"/>
      <c r="P523" s="58"/>
      <c r="Q523" s="58"/>
    </row>
    <row r="524" spans="1:17" ht="15" customHeight="1" x14ac:dyDescent="0.3">
      <c r="A524" s="42"/>
      <c r="B524" s="59" t="s">
        <v>363</v>
      </c>
      <c r="C524" s="60"/>
      <c r="D524" s="59"/>
      <c r="E524" s="59"/>
      <c r="F524" s="59"/>
      <c r="G524" s="59"/>
      <c r="H524" s="59"/>
      <c r="I524" s="61"/>
      <c r="J524" s="62"/>
      <c r="K524" s="62"/>
      <c r="L524" s="62"/>
      <c r="M524" s="62"/>
      <c r="N524" s="62"/>
      <c r="O524" s="62"/>
      <c r="P524" s="62"/>
      <c r="Q524" s="62"/>
    </row>
    <row r="525" spans="1:17" ht="15" customHeight="1" x14ac:dyDescent="0.3">
      <c r="A525" s="42"/>
      <c r="B525" s="63"/>
      <c r="C525" s="64"/>
      <c r="D525" s="65"/>
      <c r="E525" s="49"/>
      <c r="F525" s="66"/>
      <c r="G525" s="48"/>
      <c r="H525" s="66"/>
      <c r="I525" s="48"/>
      <c r="J525" s="49"/>
      <c r="K525" s="49"/>
      <c r="L525" s="49"/>
      <c r="M525" s="49"/>
      <c r="N525" s="49"/>
      <c r="O525" s="49"/>
      <c r="P525" s="49"/>
      <c r="Q525" s="49"/>
    </row>
    <row r="526" spans="1:17" ht="31.5" customHeight="1" x14ac:dyDescent="0.25">
      <c r="A526" s="89" t="s">
        <v>364</v>
      </c>
      <c r="B526" s="77"/>
      <c r="C526" s="187" t="s">
        <v>41</v>
      </c>
      <c r="D526" s="187"/>
      <c r="E526" s="187"/>
      <c r="F526" s="187"/>
      <c r="G526" s="187"/>
      <c r="H526" s="187"/>
      <c r="I526" s="78" t="s">
        <v>42</v>
      </c>
      <c r="J526" s="41" t="s">
        <v>43</v>
      </c>
      <c r="K526" s="41">
        <v>1000</v>
      </c>
      <c r="L526" s="41">
        <v>2000</v>
      </c>
      <c r="M526" s="41">
        <v>3000</v>
      </c>
      <c r="N526" s="41">
        <v>4000</v>
      </c>
      <c r="O526" s="41">
        <v>5000</v>
      </c>
      <c r="P526" s="41">
        <v>6000</v>
      </c>
      <c r="Q526" s="41">
        <v>7000</v>
      </c>
    </row>
    <row r="527" spans="1:17" ht="15" customHeight="1" x14ac:dyDescent="0.3">
      <c r="A527" s="42"/>
      <c r="B527" s="43" t="s">
        <v>122</v>
      </c>
      <c r="C527" s="44" t="s">
        <v>45</v>
      </c>
      <c r="D527" s="47">
        <v>1.05</v>
      </c>
      <c r="E527" s="46" t="s">
        <v>47</v>
      </c>
      <c r="F527" s="47">
        <v>0.84</v>
      </c>
      <c r="G527" s="46" t="s">
        <v>48</v>
      </c>
      <c r="H527" s="47">
        <v>0.86</v>
      </c>
      <c r="I527" s="48">
        <v>6</v>
      </c>
      <c r="J527" s="49">
        <f>ROUND((2194*$T$1),0)*1.05</f>
        <v>2303.7000000000003</v>
      </c>
      <c r="K527" s="49">
        <f>ROUND((2438*$T$1),0)*1.05</f>
        <v>2559.9</v>
      </c>
      <c r="L527" s="49">
        <f>ROUND((2474*$T$1),0)*1.05</f>
        <v>2597.7000000000003</v>
      </c>
      <c r="M527" s="49">
        <f>ROUND((2515*$T$1),0)*1.05</f>
        <v>2640.75</v>
      </c>
      <c r="N527" s="49">
        <f>ROUND((2555*$T$1),0)*1.05</f>
        <v>2682.75</v>
      </c>
      <c r="O527" s="49">
        <f>ROUND((2581*$T$1),0)*1.05</f>
        <v>2710.05</v>
      </c>
      <c r="P527" s="49">
        <f>ROUND((2654*$T$1),0)*1.05</f>
        <v>2786.7000000000003</v>
      </c>
      <c r="Q527" s="49">
        <f>ROUND((3623*$T$1),0)*1.05</f>
        <v>3804.15</v>
      </c>
    </row>
    <row r="528" spans="1:17" ht="15" customHeight="1" x14ac:dyDescent="0.3">
      <c r="A528" s="42"/>
      <c r="B528" s="50"/>
      <c r="C528" s="51"/>
      <c r="D528" s="54"/>
      <c r="E528" s="53"/>
      <c r="F528" s="54"/>
      <c r="G528" s="53"/>
      <c r="H528" s="54"/>
      <c r="I528" s="55"/>
      <c r="J528" s="56"/>
      <c r="K528" s="56"/>
      <c r="L528" s="56"/>
      <c r="M528" s="56"/>
      <c r="N528" s="56"/>
      <c r="O528" s="56"/>
      <c r="P528" s="56"/>
      <c r="Q528" s="56"/>
    </row>
    <row r="529" spans="1:17" ht="15" customHeight="1" x14ac:dyDescent="0.3">
      <c r="A529" s="42"/>
      <c r="B529" s="50"/>
      <c r="C529" s="51"/>
      <c r="D529" s="54"/>
      <c r="E529" s="53"/>
      <c r="F529" s="54"/>
      <c r="G529" s="53"/>
      <c r="H529" s="54"/>
      <c r="I529" s="55"/>
      <c r="J529" s="56"/>
      <c r="K529" s="56"/>
      <c r="L529" s="56"/>
      <c r="M529" s="56"/>
      <c r="N529" s="56"/>
      <c r="O529" s="56"/>
      <c r="P529" s="56"/>
      <c r="Q529" s="56"/>
    </row>
    <row r="530" spans="1:17" ht="15" customHeight="1" x14ac:dyDescent="0.3">
      <c r="A530" s="42"/>
      <c r="B530" s="43"/>
      <c r="C530" s="44"/>
      <c r="D530" s="47"/>
      <c r="E530" s="46"/>
      <c r="F530" s="47"/>
      <c r="G530" s="46"/>
      <c r="H530" s="47"/>
      <c r="I530" s="48"/>
      <c r="J530" s="49"/>
      <c r="K530" s="49"/>
      <c r="L530" s="49"/>
      <c r="M530" s="49"/>
      <c r="N530" s="49"/>
      <c r="O530" s="49"/>
      <c r="P530" s="49"/>
      <c r="Q530" s="49"/>
    </row>
    <row r="531" spans="1:17" ht="15" customHeight="1" x14ac:dyDescent="0.3">
      <c r="A531" s="42"/>
      <c r="B531" s="43"/>
      <c r="C531" s="44"/>
      <c r="D531" s="47"/>
      <c r="E531" s="46"/>
      <c r="F531" s="47"/>
      <c r="G531" s="46"/>
      <c r="H531" s="47"/>
      <c r="I531" s="48"/>
      <c r="J531" s="49"/>
      <c r="K531" s="49"/>
      <c r="L531" s="49"/>
      <c r="M531" s="49"/>
      <c r="N531" s="49"/>
      <c r="O531" s="49"/>
      <c r="P531" s="49"/>
      <c r="Q531" s="49"/>
    </row>
    <row r="532" spans="1:17" ht="15" customHeight="1" x14ac:dyDescent="0.3">
      <c r="A532" s="42"/>
      <c r="B532" s="44"/>
      <c r="C532" s="44"/>
      <c r="D532" s="47"/>
      <c r="E532" s="46"/>
      <c r="F532" s="47"/>
      <c r="G532" s="46"/>
      <c r="H532" s="47"/>
      <c r="I532" s="48"/>
      <c r="J532" s="49"/>
      <c r="K532" s="49"/>
      <c r="L532" s="49"/>
      <c r="M532" s="49"/>
      <c r="N532" s="49"/>
      <c r="O532" s="49"/>
      <c r="P532" s="49"/>
      <c r="Q532" s="49"/>
    </row>
    <row r="533" spans="1:17" ht="15" customHeight="1" x14ac:dyDescent="0.3">
      <c r="A533" s="42"/>
      <c r="B533" s="44"/>
      <c r="C533" s="44"/>
      <c r="D533" s="47"/>
      <c r="E533" s="46"/>
      <c r="F533" s="47"/>
      <c r="G533" s="46"/>
      <c r="H533" s="47"/>
      <c r="I533" s="57"/>
      <c r="J533" s="58"/>
      <c r="K533" s="58"/>
      <c r="L533" s="58"/>
      <c r="M533" s="87" t="s">
        <v>134</v>
      </c>
      <c r="N533" s="58"/>
      <c r="O533" s="58"/>
      <c r="P533" s="58"/>
      <c r="Q533" s="58"/>
    </row>
    <row r="534" spans="1:17" ht="15" customHeight="1" x14ac:dyDescent="0.3">
      <c r="A534" s="42"/>
      <c r="B534" s="59" t="s">
        <v>124</v>
      </c>
      <c r="C534" s="60"/>
      <c r="D534" s="59"/>
      <c r="E534" s="59"/>
      <c r="F534" s="59"/>
      <c r="G534" s="59"/>
      <c r="H534" s="59"/>
      <c r="I534" s="61"/>
      <c r="J534" s="62"/>
      <c r="K534" s="62"/>
      <c r="L534" s="62"/>
      <c r="M534" s="62"/>
      <c r="N534" s="62"/>
      <c r="O534" s="62"/>
      <c r="P534" s="62"/>
      <c r="Q534" s="62"/>
    </row>
    <row r="535" spans="1:17" ht="15" customHeight="1" x14ac:dyDescent="0.3">
      <c r="A535" s="42"/>
      <c r="B535" s="63"/>
      <c r="C535" s="64"/>
      <c r="D535" s="65"/>
      <c r="E535" s="49"/>
      <c r="F535" s="66"/>
      <c r="G535" s="48"/>
      <c r="H535" s="66"/>
      <c r="I535" s="48"/>
      <c r="J535" s="49"/>
      <c r="K535" s="49"/>
      <c r="L535" s="49"/>
      <c r="M535" s="49"/>
      <c r="N535" s="49"/>
      <c r="O535" s="49"/>
      <c r="P535" s="49"/>
      <c r="Q535" s="49"/>
    </row>
    <row r="536" spans="1:17" ht="29.1" customHeight="1" x14ac:dyDescent="0.25">
      <c r="A536" s="189" t="s">
        <v>365</v>
      </c>
      <c r="B536" s="189"/>
      <c r="C536" s="187" t="s">
        <v>41</v>
      </c>
      <c r="D536" s="187"/>
      <c r="E536" s="187"/>
      <c r="F536" s="187"/>
      <c r="G536" s="187"/>
      <c r="H536" s="187"/>
      <c r="I536" s="78" t="s">
        <v>42</v>
      </c>
      <c r="J536" s="41" t="s">
        <v>43</v>
      </c>
      <c r="K536" s="41">
        <v>1000</v>
      </c>
      <c r="L536" s="41">
        <v>2000</v>
      </c>
      <c r="M536" s="41">
        <v>3000</v>
      </c>
      <c r="N536" s="41">
        <v>4000</v>
      </c>
      <c r="O536" s="41">
        <v>5000</v>
      </c>
      <c r="P536" s="41">
        <v>6000</v>
      </c>
      <c r="Q536" s="41">
        <v>7000</v>
      </c>
    </row>
    <row r="537" spans="1:17" ht="15" customHeight="1" x14ac:dyDescent="0.3">
      <c r="A537" s="42"/>
      <c r="B537" s="51" t="s">
        <v>366</v>
      </c>
      <c r="C537" s="51" t="s">
        <v>45</v>
      </c>
      <c r="D537" s="52" t="s">
        <v>367</v>
      </c>
      <c r="E537" s="53" t="s">
        <v>47</v>
      </c>
      <c r="F537" s="54">
        <v>0.98</v>
      </c>
      <c r="G537" s="53" t="s">
        <v>48</v>
      </c>
      <c r="H537" s="54">
        <v>0.93</v>
      </c>
      <c r="I537" s="55">
        <v>20.7</v>
      </c>
      <c r="J537" s="56">
        <f>ROUND((4990*$T$1),0)*1.05</f>
        <v>5239.5</v>
      </c>
      <c r="K537" s="56">
        <f>ROUND((5545*$T$1),0)*1.05</f>
        <v>5822.25</v>
      </c>
      <c r="L537" s="56">
        <f>ROUND((5684*$T$1),0)*1.05</f>
        <v>5968.2</v>
      </c>
      <c r="M537" s="56">
        <f>ROUND((5847*$T$1),0)*1.05</f>
        <v>6139.35</v>
      </c>
      <c r="N537" s="56">
        <f>ROUND((6009*$T$1),0)*1.05</f>
        <v>6309.45</v>
      </c>
      <c r="O537" s="56">
        <f>ROUND((6105*$T$1),0)*1.05</f>
        <v>6410.25</v>
      </c>
      <c r="P537" s="56">
        <f>ROUND((6397*$T$1),0)*1.05</f>
        <v>6716.85</v>
      </c>
      <c r="Q537" s="56">
        <f>ROUND((6833*$T$1),0)*1.05</f>
        <v>7174.6500000000005</v>
      </c>
    </row>
    <row r="538" spans="1:17" ht="15" customHeight="1" x14ac:dyDescent="0.3">
      <c r="A538" s="42"/>
      <c r="B538" s="44" t="s">
        <v>368</v>
      </c>
      <c r="C538" s="44" t="s">
        <v>45</v>
      </c>
      <c r="D538" s="45" t="s">
        <v>369</v>
      </c>
      <c r="E538" s="46" t="s">
        <v>47</v>
      </c>
      <c r="F538" s="54">
        <v>0.98</v>
      </c>
      <c r="G538" s="46" t="s">
        <v>48</v>
      </c>
      <c r="H538" s="54">
        <v>0.93</v>
      </c>
      <c r="I538" s="48">
        <v>20</v>
      </c>
      <c r="J538" s="49">
        <f>ROUND((4840*$T$1),0)*1.05</f>
        <v>5082</v>
      </c>
      <c r="K538" s="49">
        <f>ROUND((5379*$T$1),0)*1.05</f>
        <v>5647.95</v>
      </c>
      <c r="L538" s="49">
        <f>ROUND((5514*$T$1),0)*1.05</f>
        <v>5789.7</v>
      </c>
      <c r="M538" s="49">
        <f>ROUND((5671*$T$1),0)*1.05</f>
        <v>5954.55</v>
      </c>
      <c r="N538" s="49">
        <f>ROUND((5828*$T$1),0)*1.05</f>
        <v>6119.4000000000005</v>
      </c>
      <c r="O538" s="49">
        <f>ROUND((5923*$T$1),0)*1.05</f>
        <v>6219.1500000000005</v>
      </c>
      <c r="P538" s="49">
        <f>ROUND((6205*$T$1),0)*1.05</f>
        <v>6515.25</v>
      </c>
      <c r="Q538" s="49">
        <f>ROUND((6676*$T$1),0)*1.05</f>
        <v>7009.8</v>
      </c>
    </row>
    <row r="539" spans="1:17" ht="15" customHeight="1" x14ac:dyDescent="0.3">
      <c r="A539" s="42"/>
      <c r="B539" s="44" t="s">
        <v>370</v>
      </c>
      <c r="C539" s="44" t="s">
        <v>45</v>
      </c>
      <c r="D539" s="45" t="s">
        <v>371</v>
      </c>
      <c r="E539" s="46" t="s">
        <v>47</v>
      </c>
      <c r="F539" s="54">
        <v>0.98</v>
      </c>
      <c r="G539" s="46" t="s">
        <v>48</v>
      </c>
      <c r="H539" s="54">
        <v>0.93</v>
      </c>
      <c r="I539" s="48">
        <v>19.399999999999999</v>
      </c>
      <c r="J539" s="49">
        <f>ROUND((4695*$T$1),0)*1.05</f>
        <v>4929.75</v>
      </c>
      <c r="K539" s="49">
        <f>ROUND((5218*$T$1),0)*1.05</f>
        <v>5478.9000000000005</v>
      </c>
      <c r="L539" s="49">
        <f>ROUND((5349*$T$1),0)*1.05</f>
        <v>5616.45</v>
      </c>
      <c r="M539" s="49">
        <f>ROUND((5500*$T$1),0)*1.05</f>
        <v>5775</v>
      </c>
      <c r="N539" s="49">
        <f>ROUND((5653*$T$1),0)*1.05</f>
        <v>5935.6500000000005</v>
      </c>
      <c r="O539" s="49">
        <f>ROUND((5745*$T$1),0)*1.05</f>
        <v>6032.25</v>
      </c>
      <c r="P539" s="49">
        <f>ROUND((6019*$T$1),0)*1.05</f>
        <v>6319.95</v>
      </c>
      <c r="Q539" s="49">
        <f>ROUND((6476*$T$1),0)*1.05</f>
        <v>6799.8</v>
      </c>
    </row>
    <row r="540" spans="1:17" ht="15" customHeight="1" x14ac:dyDescent="0.3">
      <c r="A540" s="42"/>
      <c r="B540" s="44" t="s">
        <v>370</v>
      </c>
      <c r="C540" s="44" t="s">
        <v>45</v>
      </c>
      <c r="D540" s="45" t="s">
        <v>372</v>
      </c>
      <c r="E540" s="46" t="s">
        <v>47</v>
      </c>
      <c r="F540" s="54">
        <v>0.98</v>
      </c>
      <c r="G540" s="46" t="s">
        <v>48</v>
      </c>
      <c r="H540" s="54">
        <v>0.93</v>
      </c>
      <c r="I540" s="48">
        <v>18.899999999999999</v>
      </c>
      <c r="J540" s="49">
        <f>ROUND((4555*$T$1),0)*1.05</f>
        <v>4782.75</v>
      </c>
      <c r="K540" s="49">
        <f>ROUND((5061*$T$1),0)*1.05</f>
        <v>5314.05</v>
      </c>
      <c r="L540" s="49">
        <f>ROUND((5189*$T$1),0)*1.05</f>
        <v>5448.45</v>
      </c>
      <c r="M540" s="49">
        <f>ROUND((5336*$T$1),0)*1.05</f>
        <v>5602.8</v>
      </c>
      <c r="N540" s="49">
        <f>ROUND((5483*$T$1),0)*1.05</f>
        <v>5757.1500000000005</v>
      </c>
      <c r="O540" s="49">
        <f>ROUND((5573*$T$1),0)*1.05</f>
        <v>5851.6500000000005</v>
      </c>
      <c r="P540" s="49">
        <f>ROUND((5839*$T$1),0)*1.05</f>
        <v>6130.95</v>
      </c>
      <c r="Q540" s="49">
        <f>ROUND((6281*$T$1),0)*1.05</f>
        <v>6595.05</v>
      </c>
    </row>
    <row r="541" spans="1:17" ht="15" customHeight="1" x14ac:dyDescent="0.3">
      <c r="A541" s="42"/>
      <c r="B541" s="44" t="s">
        <v>373</v>
      </c>
      <c r="C541" s="44" t="s">
        <v>45</v>
      </c>
      <c r="D541" s="45" t="s">
        <v>374</v>
      </c>
      <c r="E541" s="46" t="s">
        <v>47</v>
      </c>
      <c r="F541" s="54">
        <v>0.98</v>
      </c>
      <c r="G541" s="46" t="s">
        <v>48</v>
      </c>
      <c r="H541" s="54">
        <v>0.93</v>
      </c>
      <c r="I541" s="48">
        <v>18.399999999999999</v>
      </c>
      <c r="J541" s="49">
        <f>ROUND((4418*$T$1),0)*1.05</f>
        <v>4638.9000000000005</v>
      </c>
      <c r="K541" s="49">
        <f>ROUND((4909*$T$1),0)*1.05</f>
        <v>5154.45</v>
      </c>
      <c r="L541" s="49">
        <f>ROUND((5032*$T$1),0)*1.05</f>
        <v>5283.6</v>
      </c>
      <c r="M541" s="49">
        <f>ROUND((5175*$T$1),0)*1.05</f>
        <v>5433.75</v>
      </c>
      <c r="N541" s="49">
        <f>ROUND((5319*$T$1),0)*1.05</f>
        <v>5584.95</v>
      </c>
      <c r="O541" s="49">
        <f>ROUND((5405*$T$1),0)*1.05</f>
        <v>5675.25</v>
      </c>
      <c r="P541" s="49">
        <f>ROUND((5664*$T$1),0)*1.05</f>
        <v>5947.2</v>
      </c>
      <c r="Q541" s="49">
        <f>ROUND((6093*$T$1),0)*1.05</f>
        <v>6397.6500000000005</v>
      </c>
    </row>
    <row r="542" spans="1:17" ht="15" customHeight="1" x14ac:dyDescent="0.3">
      <c r="A542" s="42"/>
      <c r="B542" s="43"/>
      <c r="C542" s="44"/>
      <c r="D542" s="45"/>
      <c r="E542" s="46"/>
      <c r="F542" s="47"/>
      <c r="G542" s="46"/>
      <c r="H542" s="47"/>
      <c r="I542" s="48"/>
      <c r="J542" s="49"/>
      <c r="K542" s="49"/>
      <c r="L542" s="49"/>
      <c r="M542" s="49"/>
      <c r="N542" s="49"/>
      <c r="O542" s="49"/>
      <c r="P542" s="49"/>
      <c r="Q542" s="49"/>
    </row>
    <row r="543" spans="1:17" ht="15" customHeight="1" x14ac:dyDescent="0.3">
      <c r="A543" s="42"/>
      <c r="B543" s="44"/>
      <c r="C543" s="44"/>
      <c r="D543" s="45"/>
      <c r="E543" s="46"/>
      <c r="F543" s="47"/>
      <c r="G543" s="46"/>
      <c r="H543" s="47"/>
      <c r="I543" s="48"/>
      <c r="J543" s="49"/>
      <c r="K543" s="49"/>
      <c r="L543" s="49"/>
      <c r="M543" s="49"/>
      <c r="N543" s="49"/>
      <c r="O543" s="49"/>
      <c r="P543" s="49"/>
      <c r="Q543" s="49"/>
    </row>
    <row r="544" spans="1:17" ht="15" customHeight="1" x14ac:dyDescent="0.3">
      <c r="A544" s="42"/>
      <c r="B544" s="44"/>
      <c r="C544" s="44"/>
      <c r="D544" s="45"/>
      <c r="E544" s="46"/>
      <c r="F544" s="47"/>
      <c r="G544" s="46"/>
      <c r="H544" s="47"/>
      <c r="I544" s="48"/>
      <c r="J544" s="49"/>
      <c r="K544" s="49"/>
      <c r="L544" s="49"/>
      <c r="M544" s="49"/>
      <c r="N544" s="49"/>
      <c r="O544" s="49"/>
      <c r="P544" s="49"/>
      <c r="Q544" s="49"/>
    </row>
    <row r="545" spans="1:17" ht="15" customHeight="1" x14ac:dyDescent="0.3">
      <c r="A545" s="42"/>
      <c r="B545" s="44"/>
      <c r="C545" s="44"/>
      <c r="D545" s="47"/>
      <c r="E545" s="46"/>
      <c r="F545" s="47"/>
      <c r="G545" s="46"/>
      <c r="H545" s="47"/>
      <c r="I545" s="48"/>
      <c r="J545" s="49"/>
      <c r="K545" s="49"/>
      <c r="L545" s="49"/>
      <c r="M545" s="49"/>
      <c r="N545" s="49"/>
      <c r="O545" s="49"/>
      <c r="P545" s="49"/>
      <c r="Q545" s="49"/>
    </row>
    <row r="546" spans="1:17" ht="15" customHeight="1" x14ac:dyDescent="0.3">
      <c r="A546" s="42"/>
      <c r="B546" s="94"/>
      <c r="C546" s="44"/>
      <c r="D546" s="47"/>
      <c r="E546" s="57"/>
      <c r="F546" s="47"/>
      <c r="G546" s="57"/>
      <c r="H546" s="47"/>
      <c r="I546" s="57"/>
      <c r="J546" s="58"/>
      <c r="K546" s="58"/>
      <c r="L546" s="58"/>
      <c r="M546" s="58"/>
      <c r="N546" s="58"/>
      <c r="O546" s="58"/>
      <c r="P546" s="58"/>
      <c r="Q546" s="58"/>
    </row>
    <row r="547" spans="1:17" ht="15" customHeight="1" x14ac:dyDescent="0.3">
      <c r="A547" s="42"/>
      <c r="B547" s="94"/>
      <c r="C547" s="44"/>
      <c r="D547" s="47"/>
      <c r="E547" s="57"/>
      <c r="F547" s="47"/>
      <c r="G547" s="57"/>
      <c r="H547" s="47"/>
      <c r="I547" s="57"/>
      <c r="J547" s="58"/>
      <c r="K547" s="58"/>
      <c r="L547" s="58"/>
      <c r="M547" s="58"/>
      <c r="N547" s="58"/>
      <c r="O547" s="58"/>
      <c r="P547" s="58"/>
      <c r="Q547" s="58"/>
    </row>
    <row r="548" spans="1:17" ht="15" customHeight="1" x14ac:dyDescent="0.3">
      <c r="A548" s="42"/>
      <c r="B548" s="94"/>
      <c r="C548" s="44"/>
      <c r="D548" s="47"/>
      <c r="E548" s="57"/>
      <c r="F548" s="47"/>
      <c r="G548" s="57"/>
      <c r="H548" s="47"/>
      <c r="I548" s="57"/>
      <c r="J548" s="58"/>
      <c r="K548" s="58"/>
      <c r="L548" s="58"/>
      <c r="M548" s="58"/>
      <c r="N548" s="58"/>
      <c r="O548" s="58"/>
      <c r="P548" s="58"/>
      <c r="Q548" s="58"/>
    </row>
    <row r="549" spans="1:17" ht="15" customHeight="1" x14ac:dyDescent="0.3">
      <c r="A549" s="42"/>
      <c r="B549" s="94"/>
      <c r="C549" s="44"/>
      <c r="D549" s="47"/>
      <c r="E549" s="57"/>
      <c r="F549" s="47"/>
      <c r="G549" s="57"/>
      <c r="H549" s="47"/>
      <c r="I549" s="57"/>
      <c r="J549" s="58"/>
      <c r="K549" s="58"/>
      <c r="L549" s="58"/>
      <c r="M549" s="87" t="s">
        <v>134</v>
      </c>
      <c r="N549" s="58"/>
      <c r="O549" s="58"/>
      <c r="P549" s="58"/>
      <c r="Q549" s="58"/>
    </row>
    <row r="550" spans="1:17" ht="15" customHeight="1" x14ac:dyDescent="0.3">
      <c r="A550" s="42"/>
      <c r="B550" s="59" t="s">
        <v>375</v>
      </c>
      <c r="C550" s="60"/>
      <c r="D550" s="59"/>
      <c r="E550" s="59"/>
      <c r="F550" s="59"/>
      <c r="G550" s="59"/>
      <c r="H550" s="59"/>
      <c r="I550" s="61"/>
      <c r="J550" s="62"/>
      <c r="K550" s="62"/>
      <c r="L550" s="62"/>
      <c r="M550" s="62"/>
      <c r="N550" s="62"/>
      <c r="O550" s="62"/>
      <c r="P550" s="62"/>
      <c r="Q550" s="62"/>
    </row>
    <row r="551" spans="1:17" ht="15" customHeight="1" x14ac:dyDescent="0.3">
      <c r="A551" s="63"/>
      <c r="B551" s="63"/>
      <c r="C551" s="64"/>
      <c r="D551" s="63"/>
      <c r="E551" s="63"/>
      <c r="F551" s="63"/>
      <c r="G551" s="63"/>
      <c r="H551" s="63"/>
      <c r="I551" s="48"/>
      <c r="J551" s="49"/>
      <c r="K551" s="49"/>
      <c r="L551" s="49"/>
      <c r="M551" s="49"/>
      <c r="N551" s="49"/>
      <c r="O551" s="49"/>
      <c r="P551" s="49"/>
      <c r="Q551" s="49"/>
    </row>
    <row r="552" spans="1:17" ht="29.1" customHeight="1" x14ac:dyDescent="0.25">
      <c r="A552" s="89" t="s">
        <v>376</v>
      </c>
      <c r="B552" s="77"/>
      <c r="C552" s="187" t="s">
        <v>41</v>
      </c>
      <c r="D552" s="187"/>
      <c r="E552" s="187"/>
      <c r="F552" s="187"/>
      <c r="G552" s="187"/>
      <c r="H552" s="187"/>
      <c r="I552" s="78" t="s">
        <v>42</v>
      </c>
      <c r="J552" s="41" t="s">
        <v>43</v>
      </c>
      <c r="K552" s="41">
        <v>1000</v>
      </c>
      <c r="L552" s="41">
        <v>2000</v>
      </c>
      <c r="M552" s="41">
        <v>3000</v>
      </c>
      <c r="N552" s="41">
        <v>4000</v>
      </c>
      <c r="O552" s="41">
        <v>5000</v>
      </c>
      <c r="P552" s="41">
        <v>6000</v>
      </c>
      <c r="Q552" s="41">
        <v>7000</v>
      </c>
    </row>
    <row r="553" spans="1:17" ht="15" customHeight="1" x14ac:dyDescent="0.3">
      <c r="A553" s="42"/>
      <c r="B553" s="44" t="s">
        <v>377</v>
      </c>
      <c r="C553" s="44" t="s">
        <v>45</v>
      </c>
      <c r="D553" s="45" t="s">
        <v>378</v>
      </c>
      <c r="E553" s="46" t="s">
        <v>47</v>
      </c>
      <c r="F553" s="47">
        <v>0.84</v>
      </c>
      <c r="G553" s="46" t="s">
        <v>48</v>
      </c>
      <c r="H553" s="47">
        <v>0.8</v>
      </c>
      <c r="I553" s="48">
        <v>13.7</v>
      </c>
      <c r="J553" s="49">
        <f>ROUND((3487*$T$1),0)*1.05</f>
        <v>3661.3500000000004</v>
      </c>
      <c r="K553" s="49">
        <f>ROUND((3874*$T$1),0)*1.05</f>
        <v>4067.7000000000003</v>
      </c>
      <c r="L553" s="49">
        <f>ROUND((3961*$T$1),0)*1.05</f>
        <v>4159.05</v>
      </c>
      <c r="M553" s="49">
        <f>ROUND((4061*$T$1),0)*1.05</f>
        <v>4264.05</v>
      </c>
      <c r="N553" s="49">
        <f>ROUND((4161*$T$1),0)*1.05</f>
        <v>4369.05</v>
      </c>
      <c r="O553" s="49">
        <f>ROUND((4219*$T$1),0)*1.05</f>
        <v>4429.95</v>
      </c>
      <c r="P553" s="49">
        <f>ROUND((4400*$T$1),0)*1.05</f>
        <v>4620</v>
      </c>
      <c r="Q553" s="49">
        <f>ROUND((4698*$T$1),0)*1.05</f>
        <v>4932.9000000000005</v>
      </c>
    </row>
    <row r="554" spans="1:17" ht="15" customHeight="1" x14ac:dyDescent="0.3">
      <c r="A554" s="42"/>
      <c r="B554" s="44" t="s">
        <v>377</v>
      </c>
      <c r="C554" s="44" t="s">
        <v>45</v>
      </c>
      <c r="D554" s="45" t="s">
        <v>379</v>
      </c>
      <c r="E554" s="46" t="s">
        <v>47</v>
      </c>
      <c r="F554" s="47">
        <v>0.84</v>
      </c>
      <c r="G554" s="46" t="s">
        <v>48</v>
      </c>
      <c r="H554" s="47">
        <v>0.8</v>
      </c>
      <c r="I554" s="48">
        <v>13</v>
      </c>
      <c r="J554" s="49">
        <f>ROUND((3382*$T$1),0)*1.05</f>
        <v>3551.1000000000004</v>
      </c>
      <c r="K554" s="49">
        <f>ROUND((3758*$T$1),0)*1.05</f>
        <v>3945.9</v>
      </c>
      <c r="L554" s="49">
        <f>ROUND((3842*$T$1),0)*1.05</f>
        <v>4034.1000000000004</v>
      </c>
      <c r="M554" s="49">
        <f>ROUND((3939*$T$1),0)*1.05</f>
        <v>4135.95</v>
      </c>
      <c r="N554" s="49">
        <f>ROUND((4035*$T$1),0)*1.05</f>
        <v>4236.75</v>
      </c>
      <c r="O554" s="49">
        <f>ROUND((4093*$T$1),0)*1.05</f>
        <v>4297.6500000000005</v>
      </c>
      <c r="P554" s="49">
        <f>ROUND((4268*$T$1),0)*1.05</f>
        <v>4481.4000000000005</v>
      </c>
      <c r="Q554" s="49">
        <f>ROUND((4565*$T$1),0)*1.05</f>
        <v>4793.25</v>
      </c>
    </row>
    <row r="555" spans="1:17" ht="15" customHeight="1" x14ac:dyDescent="0.3">
      <c r="A555" s="42"/>
      <c r="B555" s="44" t="s">
        <v>380</v>
      </c>
      <c r="C555" s="44" t="s">
        <v>45</v>
      </c>
      <c r="D555" s="45" t="s">
        <v>381</v>
      </c>
      <c r="E555" s="46" t="s">
        <v>47</v>
      </c>
      <c r="F555" s="47">
        <v>0.84</v>
      </c>
      <c r="G555" s="46" t="s">
        <v>48</v>
      </c>
      <c r="H555" s="47">
        <v>0.8</v>
      </c>
      <c r="I555" s="48">
        <v>12.4</v>
      </c>
      <c r="J555" s="49">
        <f>ROUND((3281*$T$1),0)*1.05</f>
        <v>3445.05</v>
      </c>
      <c r="K555" s="49">
        <f>ROUND((3646*$T$1),0)*1.05</f>
        <v>3828.3</v>
      </c>
      <c r="L555" s="49">
        <f>ROUND((3727*$T$1),0)*1.05</f>
        <v>3913.3500000000004</v>
      </c>
      <c r="M555" s="49">
        <f>ROUND((3820*$T$1),0)*1.05</f>
        <v>4011</v>
      </c>
      <c r="N555" s="49">
        <f>ROUND((3915*$T$1),0)*1.05</f>
        <v>4110.75</v>
      </c>
      <c r="O555" s="49">
        <f>ROUND((3970*$T$1),0)*1.05</f>
        <v>4168.5</v>
      </c>
      <c r="P555" s="49">
        <f>ROUND((4140*$T$1),0)*1.05</f>
        <v>4347</v>
      </c>
      <c r="Q555" s="49">
        <f>ROUND((4419*$T$1),0)*1.05</f>
        <v>4639.95</v>
      </c>
    </row>
    <row r="556" spans="1:17" ht="15" customHeight="1" x14ac:dyDescent="0.3">
      <c r="A556" s="42"/>
      <c r="B556" s="44" t="s">
        <v>380</v>
      </c>
      <c r="C556" s="44" t="s">
        <v>45</v>
      </c>
      <c r="D556" s="45" t="s">
        <v>382</v>
      </c>
      <c r="E556" s="46" t="s">
        <v>47</v>
      </c>
      <c r="F556" s="47">
        <v>0.84</v>
      </c>
      <c r="G556" s="46" t="s">
        <v>48</v>
      </c>
      <c r="H556" s="47">
        <v>0.8</v>
      </c>
      <c r="I556" s="48">
        <v>11.8</v>
      </c>
      <c r="J556" s="49">
        <f>ROUND((3182*$T$1),0)*1.05</f>
        <v>3341.1000000000004</v>
      </c>
      <c r="K556" s="49">
        <f>ROUND((3536*$T$1),0)*1.05</f>
        <v>3712.8</v>
      </c>
      <c r="L556" s="49">
        <f>ROUND((3616*$T$1),0)*1.05</f>
        <v>3796.8</v>
      </c>
      <c r="M556" s="49">
        <f>ROUND((3706*$T$1),0)*1.05</f>
        <v>3891.3</v>
      </c>
      <c r="N556" s="49">
        <f>ROUND((3797*$T$1),0)*1.05</f>
        <v>3986.8500000000004</v>
      </c>
      <c r="O556" s="49">
        <f>ROUND((3851*$T$1),0)*1.05</f>
        <v>4043.55</v>
      </c>
      <c r="P556" s="49">
        <f>ROUND((4016*$T$1),0)*1.05</f>
        <v>4216.8</v>
      </c>
      <c r="Q556" s="49">
        <f>ROUND((4287*$T$1),0)*1.05</f>
        <v>4501.3500000000004</v>
      </c>
    </row>
    <row r="557" spans="1:17" ht="15" customHeight="1" x14ac:dyDescent="0.3">
      <c r="A557" s="42"/>
      <c r="B557" s="44" t="s">
        <v>383</v>
      </c>
      <c r="C557" s="44" t="s">
        <v>45</v>
      </c>
      <c r="D557" s="45" t="s">
        <v>384</v>
      </c>
      <c r="E557" s="46" t="s">
        <v>47</v>
      </c>
      <c r="F557" s="47">
        <v>0.84</v>
      </c>
      <c r="G557" s="46" t="s">
        <v>48</v>
      </c>
      <c r="H557" s="47">
        <v>0.8</v>
      </c>
      <c r="I557" s="48">
        <v>11.3</v>
      </c>
      <c r="J557" s="49">
        <f>ROUND((3087*$T$1),0)*1.05</f>
        <v>3241.3500000000004</v>
      </c>
      <c r="K557" s="49">
        <f>ROUND((3430*$T$1),0)*1.05</f>
        <v>3601.5</v>
      </c>
      <c r="L557" s="49">
        <f>ROUND((3506*$T$1),0)*1.05</f>
        <v>3681.3</v>
      </c>
      <c r="M557" s="49">
        <f>ROUND((3595*$T$1),0)*1.05</f>
        <v>3774.75</v>
      </c>
      <c r="N557" s="49">
        <f>ROUND((3683*$T$1),0)*1.05</f>
        <v>3867.15</v>
      </c>
      <c r="O557" s="49">
        <f>ROUND((3735*$T$1),0)*1.05</f>
        <v>3921.75</v>
      </c>
      <c r="P557" s="49">
        <f>ROUND((3895*$T$1),0)*1.05</f>
        <v>4089.75</v>
      </c>
      <c r="Q557" s="49">
        <f>ROUND((4158*$T$1),0)*1.05</f>
        <v>4365.9000000000005</v>
      </c>
    </row>
    <row r="558" spans="1:17" ht="15" customHeight="1" x14ac:dyDescent="0.3">
      <c r="A558" s="42"/>
      <c r="B558" s="44" t="s">
        <v>383</v>
      </c>
      <c r="C558" s="44" t="s">
        <v>45</v>
      </c>
      <c r="D558" s="45" t="s">
        <v>385</v>
      </c>
      <c r="E558" s="46" t="s">
        <v>47</v>
      </c>
      <c r="F558" s="47">
        <v>0.84</v>
      </c>
      <c r="G558" s="46" t="s">
        <v>48</v>
      </c>
      <c r="H558" s="47">
        <v>0.8</v>
      </c>
      <c r="I558" s="48">
        <v>10.8</v>
      </c>
      <c r="J558" s="49">
        <f>ROUND((2995*$T$1),0)*1.05</f>
        <v>3144.75</v>
      </c>
      <c r="K558" s="49">
        <f>ROUND((3327*$T$1),0)*1.05</f>
        <v>3493.3500000000004</v>
      </c>
      <c r="L558" s="49">
        <f>ROUND((3402*$T$1),0)*1.05</f>
        <v>3572.1000000000004</v>
      </c>
      <c r="M558" s="49">
        <f>ROUND((3487*$T$1),0)*1.05</f>
        <v>3661.3500000000004</v>
      </c>
      <c r="N558" s="49">
        <f>ROUND((3572*$T$1),0)*1.05</f>
        <v>3750.6000000000004</v>
      </c>
      <c r="O558" s="49">
        <f>ROUND((3624*$T$1),0)*1.05</f>
        <v>3805.2000000000003</v>
      </c>
      <c r="P558" s="49">
        <f>ROUND((3778*$T$1),0)*1.05</f>
        <v>3966.9</v>
      </c>
      <c r="Q558" s="49">
        <f>ROUND((4034*$T$1),0)*1.05</f>
        <v>4235.7</v>
      </c>
    </row>
    <row r="559" spans="1:17" ht="15" customHeight="1" x14ac:dyDescent="0.3">
      <c r="A559" s="42"/>
      <c r="B559" s="43"/>
      <c r="C559" s="44"/>
      <c r="D559" s="47"/>
      <c r="E559" s="46"/>
      <c r="F559" s="47"/>
      <c r="G559" s="46"/>
      <c r="H559" s="47"/>
      <c r="I559" s="48"/>
      <c r="J559" s="49"/>
      <c r="K559" s="49"/>
      <c r="L559" s="49"/>
      <c r="M559" s="49"/>
      <c r="N559" s="49"/>
      <c r="O559" s="49"/>
      <c r="P559" s="49"/>
      <c r="Q559" s="49"/>
    </row>
    <row r="560" spans="1:17" ht="15" customHeight="1" x14ac:dyDescent="0.3">
      <c r="A560" s="42"/>
      <c r="B560" s="43" t="s">
        <v>386</v>
      </c>
      <c r="C560" s="44" t="s">
        <v>45</v>
      </c>
      <c r="D560" s="45" t="s">
        <v>387</v>
      </c>
      <c r="E560" s="46" t="s">
        <v>47</v>
      </c>
      <c r="F560" s="47">
        <v>0.6</v>
      </c>
      <c r="G560" s="46" t="s">
        <v>48</v>
      </c>
      <c r="H560" s="47">
        <v>0.47</v>
      </c>
      <c r="I560" s="48">
        <v>3.2</v>
      </c>
      <c r="J560" s="49">
        <f>ROUND((1447*$T$1),0)*1.05</f>
        <v>1519.3500000000001</v>
      </c>
      <c r="K560" s="49">
        <f>ROUND((1608*$T$1),0)*1.05</f>
        <v>1688.4</v>
      </c>
      <c r="L560" s="49">
        <f>ROUND((1628*$T$1),0)*1.05</f>
        <v>1709.4</v>
      </c>
      <c r="M560" s="49">
        <f>ROUND((1651*$T$1),0)*1.05</f>
        <v>1733.5500000000002</v>
      </c>
      <c r="N560" s="49">
        <f>ROUND((1674*$T$1),0)*1.05</f>
        <v>1757.7</v>
      </c>
      <c r="O560" s="49">
        <f>ROUND((1688*$T$1),0)*1.05</f>
        <v>1772.4</v>
      </c>
      <c r="P560" s="49">
        <f>ROUND((1731*$T$1),0)*1.05</f>
        <v>1817.5500000000002</v>
      </c>
      <c r="Q560" s="49">
        <f>ROUND((1800*$T$1),0)*1.05</f>
        <v>1890</v>
      </c>
    </row>
    <row r="561" spans="1:17" ht="15" customHeight="1" x14ac:dyDescent="0.3">
      <c r="A561" s="42"/>
      <c r="B561" s="44" t="s">
        <v>386</v>
      </c>
      <c r="C561" s="44" t="s">
        <v>45</v>
      </c>
      <c r="D561" s="45" t="s">
        <v>77</v>
      </c>
      <c r="E561" s="46" t="s">
        <v>47</v>
      </c>
      <c r="F561" s="47">
        <v>0.6</v>
      </c>
      <c r="G561" s="46" t="s">
        <v>48</v>
      </c>
      <c r="H561" s="47">
        <v>0.47</v>
      </c>
      <c r="I561" s="48">
        <v>3</v>
      </c>
      <c r="J561" s="49">
        <f>ROUND((1374*$T$1),0)*1.05</f>
        <v>1442.7</v>
      </c>
      <c r="K561" s="49">
        <f>ROUND((1527*$T$1),0)*1.05</f>
        <v>1603.3500000000001</v>
      </c>
      <c r="L561" s="49">
        <f>ROUND((1547*$T$1),0)*1.05</f>
        <v>1624.3500000000001</v>
      </c>
      <c r="M561" s="49">
        <f>ROUND((1569*$T$1),0)*1.05</f>
        <v>1647.45</v>
      </c>
      <c r="N561" s="49">
        <f>ROUND((1590*$T$1),0)*1.05</f>
        <v>1669.5</v>
      </c>
      <c r="O561" s="49">
        <f>ROUND((1604*$T$1),0)*1.05</f>
        <v>1684.2</v>
      </c>
      <c r="P561" s="49">
        <f>ROUND((1645*$T$1),0)*1.05</f>
        <v>1727.25</v>
      </c>
      <c r="Q561" s="49">
        <f>ROUND((1710*$T$1),0)*1.05</f>
        <v>1795.5</v>
      </c>
    </row>
    <row r="562" spans="1:17" ht="15" customHeight="1" x14ac:dyDescent="0.3">
      <c r="A562" s="42"/>
      <c r="B562" s="86"/>
      <c r="C562" s="119"/>
      <c r="D562" s="86"/>
      <c r="E562" s="86"/>
      <c r="F562" s="86"/>
      <c r="G562" s="86"/>
      <c r="H562" s="86"/>
      <c r="I562" s="55"/>
      <c r="J562" s="56"/>
      <c r="K562" s="56"/>
      <c r="L562" s="56"/>
      <c r="M562" s="56"/>
      <c r="N562" s="56"/>
      <c r="O562" s="56"/>
      <c r="P562" s="56"/>
      <c r="Q562" s="56"/>
    </row>
    <row r="563" spans="1:17" ht="15" customHeight="1" x14ac:dyDescent="0.3">
      <c r="A563" s="42"/>
      <c r="B563" s="86"/>
      <c r="C563" s="119"/>
      <c r="D563" s="86"/>
      <c r="E563" s="86"/>
      <c r="F563" s="86"/>
      <c r="G563" s="86"/>
      <c r="H563" s="86"/>
      <c r="I563" s="55"/>
      <c r="J563" s="56"/>
      <c r="K563" s="56"/>
      <c r="L563" s="56"/>
      <c r="M563" s="56"/>
      <c r="N563" s="56"/>
      <c r="O563" s="56"/>
      <c r="P563" s="56"/>
      <c r="Q563" s="56"/>
    </row>
    <row r="564" spans="1:17" ht="15" customHeight="1" x14ac:dyDescent="0.3">
      <c r="A564" s="42"/>
      <c r="B564" s="86"/>
      <c r="C564" s="106"/>
      <c r="D564" s="88"/>
      <c r="E564" s="88"/>
      <c r="F564" s="88"/>
      <c r="G564" s="88"/>
      <c r="H564" s="88"/>
      <c r="I564" s="88"/>
      <c r="J564" s="120"/>
      <c r="K564" s="120"/>
      <c r="L564" s="120"/>
      <c r="M564" s="120"/>
      <c r="N564" s="120"/>
      <c r="O564" s="120"/>
      <c r="P564" s="120"/>
      <c r="Q564" s="120"/>
    </row>
    <row r="565" spans="1:17" ht="15" customHeight="1" x14ac:dyDescent="0.3">
      <c r="A565" s="42"/>
      <c r="B565" s="86"/>
      <c r="C565" s="119"/>
      <c r="D565" s="86"/>
      <c r="E565" s="86"/>
      <c r="F565" s="86"/>
      <c r="G565" s="86"/>
      <c r="H565" s="86"/>
      <c r="I565" s="55"/>
      <c r="J565" s="56"/>
      <c r="K565" s="56"/>
      <c r="L565" s="56"/>
      <c r="M565" s="87" t="s">
        <v>134</v>
      </c>
      <c r="N565" s="56"/>
      <c r="O565" s="56"/>
      <c r="P565" s="56"/>
      <c r="Q565" s="56"/>
    </row>
    <row r="566" spans="1:17" ht="15" customHeight="1" x14ac:dyDescent="0.3">
      <c r="A566" s="42"/>
      <c r="B566" s="59" t="s">
        <v>388</v>
      </c>
      <c r="C566" s="60"/>
      <c r="D566" s="59"/>
      <c r="E566" s="59"/>
      <c r="F566" s="59"/>
      <c r="G566" s="59"/>
      <c r="H566" s="59"/>
      <c r="I566" s="61"/>
      <c r="J566" s="62"/>
      <c r="K566" s="62"/>
      <c r="L566" s="62"/>
      <c r="M566" s="62"/>
      <c r="N566" s="62"/>
      <c r="O566" s="62"/>
      <c r="P566" s="62"/>
      <c r="Q566" s="62"/>
    </row>
    <row r="567" spans="1:17" ht="15" customHeight="1" x14ac:dyDescent="0.3">
      <c r="A567" s="63"/>
      <c r="B567" s="63"/>
      <c r="C567" s="64"/>
      <c r="D567" s="63"/>
      <c r="E567" s="63"/>
      <c r="F567" s="63"/>
      <c r="G567" s="63"/>
      <c r="H567" s="63"/>
      <c r="I567" s="48"/>
      <c r="J567" s="49"/>
      <c r="K567" s="49"/>
      <c r="L567" s="49"/>
      <c r="M567" s="49"/>
      <c r="N567" s="49"/>
      <c r="O567" s="49"/>
      <c r="P567" s="49"/>
      <c r="Q567" s="49"/>
    </row>
    <row r="568" spans="1:17" ht="29.1" customHeight="1" x14ac:dyDescent="0.25">
      <c r="A568" s="89" t="s">
        <v>389</v>
      </c>
      <c r="B568" s="77"/>
      <c r="C568" s="187" t="s">
        <v>41</v>
      </c>
      <c r="D568" s="187"/>
      <c r="E568" s="187"/>
      <c r="F568" s="187"/>
      <c r="G568" s="187"/>
      <c r="H568" s="187"/>
      <c r="I568" s="78" t="s">
        <v>42</v>
      </c>
      <c r="J568" s="41" t="s">
        <v>43</v>
      </c>
      <c r="K568" s="41">
        <v>1000</v>
      </c>
      <c r="L568" s="41">
        <v>2000</v>
      </c>
      <c r="M568" s="41">
        <v>3000</v>
      </c>
      <c r="N568" s="41">
        <v>4000</v>
      </c>
      <c r="O568" s="41">
        <v>5000</v>
      </c>
      <c r="P568" s="41">
        <v>6000</v>
      </c>
      <c r="Q568" s="41">
        <v>7000</v>
      </c>
    </row>
    <row r="569" spans="1:17" ht="15" customHeight="1" x14ac:dyDescent="0.3">
      <c r="A569" s="42"/>
      <c r="B569" s="43" t="s">
        <v>390</v>
      </c>
      <c r="C569" s="44" t="s">
        <v>45</v>
      </c>
      <c r="D569" s="47">
        <v>1.5</v>
      </c>
      <c r="E569" s="46" t="s">
        <v>47</v>
      </c>
      <c r="F569" s="47">
        <v>1.24</v>
      </c>
      <c r="G569" s="46" t="s">
        <v>48</v>
      </c>
      <c r="H569" s="57">
        <v>0.9</v>
      </c>
      <c r="I569" s="48">
        <v>12.3</v>
      </c>
      <c r="J569" s="49">
        <f>ROUND((4161*$T$1),0)*1.05</f>
        <v>4369.05</v>
      </c>
      <c r="K569" s="49">
        <f>ROUND((4623*$T$1),0)*1.05</f>
        <v>4854.1500000000005</v>
      </c>
      <c r="L569" s="49">
        <f>ROUND((4705*$T$1),0)*1.05</f>
        <v>4940.25</v>
      </c>
      <c r="M569" s="49">
        <f>ROUND((4798*$T$1),0)*1.05</f>
        <v>5037.9000000000005</v>
      </c>
      <c r="N569" s="49">
        <f>ROUND((4892*$T$1),0)*1.05</f>
        <v>5136.6000000000004</v>
      </c>
      <c r="O569" s="49">
        <f>ROUND((4950*$T$1),0)*1.05</f>
        <v>5197.5</v>
      </c>
      <c r="P569" s="49">
        <f>ROUND((5119*$T$1),0)*1.05</f>
        <v>5374.95</v>
      </c>
      <c r="Q569" s="49">
        <f>ROUND((5400*$T$1),0)*1.05</f>
        <v>5670</v>
      </c>
    </row>
    <row r="570" spans="1:17" ht="15" customHeight="1" x14ac:dyDescent="0.3">
      <c r="A570" s="42"/>
      <c r="B570" s="43" t="s">
        <v>391</v>
      </c>
      <c r="C570" s="44" t="s">
        <v>45</v>
      </c>
      <c r="D570" s="47">
        <v>1.4</v>
      </c>
      <c r="E570" s="46" t="s">
        <v>47</v>
      </c>
      <c r="F570" s="47">
        <v>1.24</v>
      </c>
      <c r="G570" s="46" t="s">
        <v>48</v>
      </c>
      <c r="H570" s="57">
        <v>0.9</v>
      </c>
      <c r="I570" s="48">
        <v>11.7</v>
      </c>
      <c r="J570" s="49">
        <f>ROUND((3953*$T$1),0)*1.05</f>
        <v>4150.6500000000005</v>
      </c>
      <c r="K570" s="49">
        <f>ROUND((4545*$T$1),0)*1.05</f>
        <v>4772.25</v>
      </c>
      <c r="L570" s="49">
        <f>ROUND((4469*$T$1),0)*1.05</f>
        <v>4692.45</v>
      </c>
      <c r="M570" s="49">
        <f>ROUND((4559*$T$1),0)*1.05</f>
        <v>4786.95</v>
      </c>
      <c r="N570" s="49">
        <f>ROUND((4647*$T$1),0)*1.05</f>
        <v>4879.3500000000004</v>
      </c>
      <c r="O570" s="49">
        <f>ROUND((4702*$T$1),0)*1.05</f>
        <v>4937.1000000000004</v>
      </c>
      <c r="P570" s="49">
        <f>ROUND((4862*$T$1),0)*1.05</f>
        <v>5105.1000000000004</v>
      </c>
      <c r="Q570" s="49">
        <f>ROUND((5130*$T$1),0)*1.05</f>
        <v>5386.5</v>
      </c>
    </row>
    <row r="571" spans="1:17" ht="15" customHeight="1" x14ac:dyDescent="0.3">
      <c r="A571" s="42"/>
      <c r="B571" s="43" t="s">
        <v>392</v>
      </c>
      <c r="C571" s="44" t="s">
        <v>45</v>
      </c>
      <c r="D571" s="47">
        <v>1.3</v>
      </c>
      <c r="E571" s="46" t="s">
        <v>47</v>
      </c>
      <c r="F571" s="47">
        <v>1.24</v>
      </c>
      <c r="G571" s="46" t="s">
        <v>48</v>
      </c>
      <c r="H571" s="57">
        <v>0.9</v>
      </c>
      <c r="I571" s="48">
        <v>11.2</v>
      </c>
      <c r="J571" s="49">
        <f>ROUND((3756*$T$1),0)*1.05</f>
        <v>3943.8</v>
      </c>
      <c r="K571" s="49">
        <f>ROUND((4172*$T$1),0)*1.05</f>
        <v>4380.6000000000004</v>
      </c>
      <c r="L571" s="49">
        <f>ROUND((4246*$T$1),0)*1.05</f>
        <v>4458.3</v>
      </c>
      <c r="M571" s="49">
        <f>ROUND((4331*$T$1),0)*1.05</f>
        <v>4547.55</v>
      </c>
      <c r="N571" s="49">
        <f>ROUND((4415*$T$1),0)*1.05</f>
        <v>4635.75</v>
      </c>
      <c r="O571" s="49">
        <f>ROUND((4467*$T$1),0)*1.05</f>
        <v>4690.3500000000004</v>
      </c>
      <c r="P571" s="49">
        <f>ROUND((4620*$T$1),0)*1.05</f>
        <v>4851</v>
      </c>
      <c r="Q571" s="49">
        <f>ROUND((4874*$T$1),0)*1.05</f>
        <v>5117.7</v>
      </c>
    </row>
    <row r="572" spans="1:17" ht="15" customHeight="1" x14ac:dyDescent="0.3">
      <c r="A572" s="42"/>
      <c r="B572" s="43" t="s">
        <v>393</v>
      </c>
      <c r="C572" s="44" t="s">
        <v>45</v>
      </c>
      <c r="D572" s="47">
        <v>1.2</v>
      </c>
      <c r="E572" s="46" t="s">
        <v>47</v>
      </c>
      <c r="F572" s="47">
        <v>1.24</v>
      </c>
      <c r="G572" s="46" t="s">
        <v>48</v>
      </c>
      <c r="H572" s="57">
        <v>0.9</v>
      </c>
      <c r="I572" s="48">
        <v>10.7</v>
      </c>
      <c r="J572" s="49">
        <f>ROUND((3567*$T$1),0)*1.05</f>
        <v>3745.3500000000004</v>
      </c>
      <c r="K572" s="49">
        <f>ROUND((3974*$T$1),0)*1.05</f>
        <v>4172.7</v>
      </c>
      <c r="L572" s="49">
        <f>ROUND((4033*$T$1),0)*1.05</f>
        <v>4234.6500000000005</v>
      </c>
      <c r="M572" s="49">
        <f>ROUND((4114*$T$1),0)*1.05</f>
        <v>4319.7</v>
      </c>
      <c r="N572" s="49">
        <f>ROUND((4194*$T$1),0)*1.05</f>
        <v>4403.7</v>
      </c>
      <c r="O572" s="49">
        <f>ROUND((4244*$T$1),0)*1.05</f>
        <v>4456.2</v>
      </c>
      <c r="P572" s="49">
        <f>ROUND((4388*$T$1),0)*1.05</f>
        <v>4607.4000000000005</v>
      </c>
      <c r="Q572" s="49">
        <f>ROUND((4630*$T$1),0)*1.05</f>
        <v>4861.5</v>
      </c>
    </row>
    <row r="573" spans="1:17" ht="15" customHeight="1" x14ac:dyDescent="0.3">
      <c r="A573" s="42"/>
      <c r="B573" s="44"/>
      <c r="C573" s="44"/>
      <c r="D573" s="47"/>
      <c r="E573" s="46"/>
      <c r="F573" s="47"/>
      <c r="G573" s="46"/>
      <c r="H573" s="57"/>
      <c r="I573" s="48"/>
      <c r="J573" s="49"/>
      <c r="K573" s="49"/>
      <c r="L573" s="49"/>
      <c r="M573" s="49"/>
      <c r="N573" s="49"/>
      <c r="O573" s="49"/>
      <c r="P573" s="49"/>
      <c r="Q573" s="49"/>
    </row>
    <row r="574" spans="1:17" ht="15" customHeight="1" x14ac:dyDescent="0.3">
      <c r="A574" s="93"/>
      <c r="B574" s="43" t="s">
        <v>312</v>
      </c>
      <c r="C574" s="44" t="s">
        <v>45</v>
      </c>
      <c r="D574" s="47">
        <v>1.4</v>
      </c>
      <c r="E574" s="46" t="s">
        <v>47</v>
      </c>
      <c r="F574" s="47">
        <v>1.24</v>
      </c>
      <c r="G574" s="46" t="s">
        <v>48</v>
      </c>
      <c r="H574" s="57">
        <v>0.9</v>
      </c>
      <c r="I574" s="48">
        <v>12</v>
      </c>
      <c r="J574" s="49">
        <f>ROUND((4078*$T$1),0)*1.05</f>
        <v>4281.9000000000005</v>
      </c>
      <c r="K574" s="49">
        <f>ROUND((4531*$T$1),0)*1.05</f>
        <v>4757.55</v>
      </c>
      <c r="L574" s="49">
        <f>ROUND((4610*$T$1),0)*1.05</f>
        <v>4840.5</v>
      </c>
      <c r="M574" s="49">
        <f>ROUND((4702*$T$1),0)*1.05</f>
        <v>4937.1000000000004</v>
      </c>
      <c r="N574" s="49">
        <f>ROUND((4794*$T$1),0)*1.05</f>
        <v>5033.7</v>
      </c>
      <c r="O574" s="49">
        <f>ROUND((4851*$T$1),0)*1.05</f>
        <v>5093.55</v>
      </c>
      <c r="P574" s="49">
        <f>ROUND((5016*$T$1),0)*1.05</f>
        <v>5266.8</v>
      </c>
      <c r="Q574" s="49">
        <f>ROUND((5292*$T$1),0)*1.05</f>
        <v>5556.6</v>
      </c>
    </row>
    <row r="575" spans="1:17" ht="15" customHeight="1" x14ac:dyDescent="0.3">
      <c r="A575" s="42"/>
      <c r="B575" s="43" t="s">
        <v>313</v>
      </c>
      <c r="C575" s="44" t="s">
        <v>45</v>
      </c>
      <c r="D575" s="47">
        <v>1.3</v>
      </c>
      <c r="E575" s="46" t="s">
        <v>47</v>
      </c>
      <c r="F575" s="47">
        <v>1.24</v>
      </c>
      <c r="G575" s="46" t="s">
        <v>48</v>
      </c>
      <c r="H575" s="57">
        <v>0.9</v>
      </c>
      <c r="I575" s="48">
        <v>11.4</v>
      </c>
      <c r="J575" s="49">
        <f>ROUND((3874*$T$1),0)*1.05</f>
        <v>4067.7000000000003</v>
      </c>
      <c r="K575" s="49">
        <f>ROUND((4304*$T$1),0)*1.05</f>
        <v>4519.2</v>
      </c>
      <c r="L575" s="49">
        <f>ROUND((4380*$T$1),0)*1.05</f>
        <v>4599</v>
      </c>
      <c r="M575" s="49">
        <f>ROUND((4468*$T$1),0)*1.05</f>
        <v>4691.4000000000005</v>
      </c>
      <c r="N575" s="49">
        <f>ROUND((4555*$T$1),0)*1.05</f>
        <v>4782.75</v>
      </c>
      <c r="O575" s="49">
        <f>ROUND((4608*$T$1),0)*1.05</f>
        <v>4838.4000000000005</v>
      </c>
      <c r="P575" s="49">
        <f>ROUND((4766*$T$1),0)*1.05</f>
        <v>5004.3</v>
      </c>
      <c r="Q575" s="49">
        <f>ROUND((5028*$T$1),0)*1.05</f>
        <v>5279.4000000000005</v>
      </c>
    </row>
    <row r="576" spans="1:17" ht="15" customHeight="1" x14ac:dyDescent="0.3">
      <c r="A576" s="42"/>
      <c r="B576" s="43" t="s">
        <v>314</v>
      </c>
      <c r="C576" s="44" t="s">
        <v>45</v>
      </c>
      <c r="D576" s="47">
        <v>1.2</v>
      </c>
      <c r="E576" s="46" t="s">
        <v>47</v>
      </c>
      <c r="F576" s="47">
        <v>1.24</v>
      </c>
      <c r="G576" s="46" t="s">
        <v>48</v>
      </c>
      <c r="H576" s="57">
        <v>0.9</v>
      </c>
      <c r="I576" s="48">
        <v>10.9</v>
      </c>
      <c r="J576" s="49">
        <f>ROUND((3680*$T$1),0)*1.05</f>
        <v>3864</v>
      </c>
      <c r="K576" s="49">
        <f>ROUND((4089*$T$1),0)*1.05</f>
        <v>4293.45</v>
      </c>
      <c r="L576" s="49">
        <f>ROUND((4161*$T$1),0)*1.05</f>
        <v>4369.05</v>
      </c>
      <c r="M576" s="49">
        <f>ROUND((4244*$T$1),0)*1.05</f>
        <v>4456.2</v>
      </c>
      <c r="N576" s="49">
        <f>ROUND((4327*$T$1),0)*1.05</f>
        <v>4543.3500000000004</v>
      </c>
      <c r="O576" s="49">
        <f>ROUND((4378*$T$1),0)*1.05</f>
        <v>4596.9000000000005</v>
      </c>
      <c r="P576" s="49">
        <f>ROUND((4528*$T$1),0)*1.05</f>
        <v>4754.4000000000005</v>
      </c>
      <c r="Q576" s="49">
        <f>ROUND((4776*$T$1),0)*1.05</f>
        <v>5014.8</v>
      </c>
    </row>
    <row r="577" spans="1:17" ht="15" customHeight="1" x14ac:dyDescent="0.3">
      <c r="A577" s="42"/>
      <c r="B577" s="43" t="s">
        <v>338</v>
      </c>
      <c r="C577" s="44" t="s">
        <v>45</v>
      </c>
      <c r="D577" s="47">
        <v>1.1000000000000001</v>
      </c>
      <c r="E577" s="46" t="s">
        <v>47</v>
      </c>
      <c r="F577" s="47">
        <v>1.24</v>
      </c>
      <c r="G577" s="46" t="s">
        <v>48</v>
      </c>
      <c r="H577" s="57">
        <v>0.9</v>
      </c>
      <c r="I577" s="48">
        <v>10.4</v>
      </c>
      <c r="J577" s="49">
        <f>ROUND((3496*$T$1),0)*1.05</f>
        <v>3670.8</v>
      </c>
      <c r="K577" s="49">
        <f>ROUND((3885*$T$1),0)*1.05</f>
        <v>4079.25</v>
      </c>
      <c r="L577" s="49">
        <f>ROUND((3953*$T$1),0)*1.05</f>
        <v>4150.6500000000005</v>
      </c>
      <c r="M577" s="49">
        <f>ROUND((4032*$T$1),0)*1.05</f>
        <v>4233.6000000000004</v>
      </c>
      <c r="N577" s="49">
        <f>ROUND((4110*$T$1),0)*1.05</f>
        <v>4315.5</v>
      </c>
      <c r="O577" s="49">
        <f>ROUND((4158*$T$1),0)*1.05</f>
        <v>4365.9000000000005</v>
      </c>
      <c r="P577" s="49">
        <f>ROUND((4301*$T$1),0)*1.05</f>
        <v>4516.05</v>
      </c>
      <c r="Q577" s="49">
        <f>ROUND((4538*$T$1),0)*1.05</f>
        <v>4764.9000000000005</v>
      </c>
    </row>
    <row r="578" spans="1:17" ht="15" customHeight="1" x14ac:dyDescent="0.3">
      <c r="A578" s="42"/>
      <c r="B578" s="44"/>
      <c r="C578" s="44"/>
      <c r="D578" s="47"/>
      <c r="E578" s="46"/>
      <c r="F578" s="47"/>
      <c r="G578" s="46"/>
      <c r="H578" s="57"/>
      <c r="I578" s="48"/>
      <c r="J578" s="49"/>
      <c r="K578" s="49"/>
      <c r="L578" s="49"/>
      <c r="M578" s="49"/>
      <c r="N578" s="49"/>
      <c r="O578" s="49"/>
      <c r="P578" s="49"/>
      <c r="Q578" s="49"/>
    </row>
    <row r="579" spans="1:17" ht="15" customHeight="1" x14ac:dyDescent="0.3">
      <c r="A579" s="93"/>
      <c r="B579" s="43" t="s">
        <v>339</v>
      </c>
      <c r="C579" s="44" t="s">
        <v>45</v>
      </c>
      <c r="D579" s="47">
        <v>1.2</v>
      </c>
      <c r="E579" s="46" t="s">
        <v>47</v>
      </c>
      <c r="F579" s="47">
        <v>1.24</v>
      </c>
      <c r="G579" s="46" t="s">
        <v>48</v>
      </c>
      <c r="H579" s="57">
        <v>0.9</v>
      </c>
      <c r="I579" s="48">
        <v>10</v>
      </c>
      <c r="J579" s="49">
        <f>ROUND((3876*$T$1),0)*1.05</f>
        <v>4069.8</v>
      </c>
      <c r="K579" s="49">
        <f>ROUND((4306*$T$1),0)*1.05</f>
        <v>4521.3</v>
      </c>
      <c r="L579" s="49">
        <f>ROUND((4375*$T$1),0)*1.05</f>
        <v>4593.75</v>
      </c>
      <c r="M579" s="49">
        <f>ROUND((4453*$T$1),0)*1.05</f>
        <v>4675.6500000000005</v>
      </c>
      <c r="N579" s="49">
        <f>ROUND((4532*$T$1),0)*1.05</f>
        <v>4758.6000000000004</v>
      </c>
      <c r="O579" s="49">
        <f>ROUND((4579*$T$1),0)*1.05</f>
        <v>4807.95</v>
      </c>
      <c r="P579" s="49">
        <f>ROUND((4722*$T$1),0)*1.05</f>
        <v>4958.1000000000004</v>
      </c>
      <c r="Q579" s="49">
        <f>ROUND((4959*$T$1),0)*1.05</f>
        <v>5206.95</v>
      </c>
    </row>
    <row r="580" spans="1:17" ht="15" customHeight="1" x14ac:dyDescent="0.3">
      <c r="A580" s="42"/>
      <c r="B580" s="43" t="s">
        <v>340</v>
      </c>
      <c r="C580" s="44" t="s">
        <v>45</v>
      </c>
      <c r="D580" s="47">
        <v>1.1000000000000001</v>
      </c>
      <c r="E580" s="46" t="s">
        <v>47</v>
      </c>
      <c r="F580" s="47">
        <v>1.24</v>
      </c>
      <c r="G580" s="46" t="s">
        <v>48</v>
      </c>
      <c r="H580" s="57">
        <v>0.9</v>
      </c>
      <c r="I580" s="48">
        <v>10.9</v>
      </c>
      <c r="J580" s="49">
        <f>ROUND((3680*$T$1),0)*1.05</f>
        <v>3864</v>
      </c>
      <c r="K580" s="49">
        <f>ROUND((4089*$T$1),0)*1.05</f>
        <v>4293.45</v>
      </c>
      <c r="L580" s="49">
        <f>ROUND((4161*$T$1),0)*1.05</f>
        <v>4369.05</v>
      </c>
      <c r="M580" s="49">
        <f>ROUND((4244*$T$1),0)*1.05</f>
        <v>4456.2</v>
      </c>
      <c r="N580" s="49">
        <f>ROUND((4327*$T$1),0)*1.05</f>
        <v>4543.3500000000004</v>
      </c>
      <c r="O580" s="49">
        <f>ROUND((4378*$T$1),0)*1.05</f>
        <v>4596.9000000000005</v>
      </c>
      <c r="P580" s="49">
        <f>ROUND((4528*$T$1),0)*1.05</f>
        <v>4754.4000000000005</v>
      </c>
      <c r="Q580" s="49">
        <f>ROUND((4776*$T$1),0)*1.05</f>
        <v>5014.8</v>
      </c>
    </row>
    <row r="581" spans="1:17" ht="15" customHeight="1" x14ac:dyDescent="0.3">
      <c r="A581" s="42"/>
      <c r="B581" s="43" t="s">
        <v>341</v>
      </c>
      <c r="C581" s="44" t="s">
        <v>45</v>
      </c>
      <c r="D581" s="47">
        <v>1</v>
      </c>
      <c r="E581" s="46" t="s">
        <v>47</v>
      </c>
      <c r="F581" s="47">
        <v>1.24</v>
      </c>
      <c r="G581" s="46" t="s">
        <v>48</v>
      </c>
      <c r="H581" s="57">
        <v>0.9</v>
      </c>
      <c r="I581" s="48">
        <v>10.4</v>
      </c>
      <c r="J581" s="49">
        <f>ROUND((3496*$T$1),0)*1.05</f>
        <v>3670.8</v>
      </c>
      <c r="K581" s="49">
        <f>ROUND((3885*$T$1),0)*1.05</f>
        <v>4079.25</v>
      </c>
      <c r="L581" s="49">
        <f>ROUND((3953*$T$1),0)*1.05</f>
        <v>4150.6500000000005</v>
      </c>
      <c r="M581" s="49">
        <f>ROUND((4032*$T$1),0)*1.05</f>
        <v>4233.6000000000004</v>
      </c>
      <c r="N581" s="49">
        <f>ROUND((4110*$T$1),0)*1.05</f>
        <v>4315.5</v>
      </c>
      <c r="O581" s="49">
        <f>ROUND((4158*$T$1),0)*1.05</f>
        <v>4365.9000000000005</v>
      </c>
      <c r="P581" s="49">
        <f>ROUND((4301*$T$1),0)*1.05</f>
        <v>4516.05</v>
      </c>
      <c r="Q581" s="49">
        <f>ROUND((4538*$T$1),0)*1.05</f>
        <v>4764.9000000000005</v>
      </c>
    </row>
    <row r="582" spans="1:17" ht="15" customHeight="1" x14ac:dyDescent="0.3">
      <c r="A582" s="42"/>
      <c r="B582" s="43" t="s">
        <v>342</v>
      </c>
      <c r="C582" s="44" t="s">
        <v>45</v>
      </c>
      <c r="D582" s="47">
        <v>0.9</v>
      </c>
      <c r="E582" s="46" t="s">
        <v>47</v>
      </c>
      <c r="F582" s="47">
        <v>1.24</v>
      </c>
      <c r="G582" s="46" t="s">
        <v>48</v>
      </c>
      <c r="H582" s="57">
        <v>0.9</v>
      </c>
      <c r="I582" s="48">
        <v>9.9</v>
      </c>
      <c r="J582" s="49">
        <f>ROUND((3321*$T$1),0)*1.05</f>
        <v>3487.05</v>
      </c>
      <c r="K582" s="49">
        <f>ROUND((3690*$T$1),0)*1.05</f>
        <v>3874.5</v>
      </c>
      <c r="L582" s="49">
        <f>ROUND((3755*$T$1),0)*1.05</f>
        <v>3942.75</v>
      </c>
      <c r="M582" s="49">
        <f>ROUND((3831*$T$1),0)*1.05</f>
        <v>4022.55</v>
      </c>
      <c r="N582" s="49">
        <f>ROUND((3905*$T$1),0)*1.05</f>
        <v>4100.25</v>
      </c>
      <c r="O582" s="49">
        <f>ROUND((3951*$T$1),0)*1.05</f>
        <v>4148.55</v>
      </c>
      <c r="P582" s="49">
        <f>ROUND((4086*$T$1),0)*1.05</f>
        <v>4290.3</v>
      </c>
      <c r="Q582" s="49">
        <f>ROUND((4310*$T$1),0)*1.05</f>
        <v>4525.5</v>
      </c>
    </row>
    <row r="583" spans="1:17" ht="15" customHeight="1" x14ac:dyDescent="0.3">
      <c r="A583" s="42"/>
      <c r="B583" s="44"/>
      <c r="C583" s="44"/>
      <c r="D583" s="47"/>
      <c r="E583" s="46"/>
      <c r="F583" s="47"/>
      <c r="G583" s="46"/>
      <c r="H583" s="57"/>
      <c r="I583" s="48"/>
      <c r="J583" s="49"/>
      <c r="K583" s="49"/>
      <c r="L583" s="49"/>
      <c r="M583" s="49"/>
      <c r="N583" s="49"/>
      <c r="O583" s="49"/>
      <c r="P583" s="49"/>
      <c r="Q583" s="49"/>
    </row>
    <row r="584" spans="1:17" ht="15" customHeight="1" x14ac:dyDescent="0.3">
      <c r="A584" s="42"/>
      <c r="B584" s="43" t="s">
        <v>184</v>
      </c>
      <c r="C584" s="44"/>
      <c r="D584" s="47"/>
      <c r="E584" s="46"/>
      <c r="F584" s="47"/>
      <c r="G584" s="46"/>
      <c r="H584" s="57"/>
      <c r="I584" s="48"/>
      <c r="J584" s="49"/>
      <c r="K584" s="49">
        <f>ROUND((1763*$T$1),0)*1.05</f>
        <v>1851.15</v>
      </c>
      <c r="L584" s="49"/>
      <c r="M584" s="49"/>
      <c r="N584" s="49"/>
      <c r="O584" s="49"/>
      <c r="P584" s="49"/>
      <c r="Q584" s="49"/>
    </row>
    <row r="585" spans="1:17" ht="15" customHeight="1" x14ac:dyDescent="0.3">
      <c r="A585" s="42"/>
      <c r="B585" s="43" t="s">
        <v>185</v>
      </c>
      <c r="C585" s="44"/>
      <c r="D585" s="47"/>
      <c r="E585" s="46"/>
      <c r="F585" s="47"/>
      <c r="G585" s="46"/>
      <c r="H585" s="57"/>
      <c r="I585" s="48"/>
      <c r="J585" s="49"/>
      <c r="K585" s="49">
        <f>ROUND((2824*$T$1),0)*1.05</f>
        <v>2965.2000000000003</v>
      </c>
      <c r="L585" s="49"/>
      <c r="M585" s="49"/>
      <c r="N585" s="49"/>
      <c r="O585" s="49"/>
      <c r="P585" s="49"/>
      <c r="Q585" s="49"/>
    </row>
    <row r="586" spans="1:17" ht="15" customHeight="1" x14ac:dyDescent="0.3">
      <c r="A586" s="42"/>
      <c r="B586" s="43" t="s">
        <v>186</v>
      </c>
      <c r="C586" s="44"/>
      <c r="D586" s="47"/>
      <c r="E586" s="46"/>
      <c r="F586" s="47"/>
      <c r="G586" s="46"/>
      <c r="H586" s="57"/>
      <c r="I586" s="48"/>
      <c r="J586" s="49"/>
      <c r="K586" s="49">
        <f>ROUND((3885*$T$1),0)*1.05</f>
        <v>4079.25</v>
      </c>
      <c r="L586" s="49"/>
      <c r="M586" s="49"/>
      <c r="N586" s="49"/>
      <c r="O586" s="49"/>
      <c r="P586" s="49"/>
      <c r="Q586" s="49"/>
    </row>
    <row r="587" spans="1:17" ht="15" customHeight="1" x14ac:dyDescent="0.3">
      <c r="A587" s="42"/>
      <c r="B587" s="44"/>
      <c r="C587" s="44"/>
      <c r="D587" s="47"/>
      <c r="E587" s="46"/>
      <c r="F587" s="47"/>
      <c r="G587" s="46"/>
      <c r="H587" s="57"/>
      <c r="I587" s="48"/>
      <c r="J587" s="49"/>
      <c r="K587" s="49"/>
      <c r="L587" s="49"/>
      <c r="M587" s="49"/>
      <c r="N587" s="49"/>
      <c r="O587" s="49"/>
      <c r="P587" s="49"/>
      <c r="Q587" s="49"/>
    </row>
    <row r="588" spans="1:17" ht="15" customHeight="1" x14ac:dyDescent="0.3">
      <c r="A588" s="42"/>
      <c r="B588" s="51" t="s">
        <v>188</v>
      </c>
      <c r="C588" s="44"/>
      <c r="D588" s="47"/>
      <c r="E588" s="46"/>
      <c r="F588" s="47"/>
      <c r="G588" s="46"/>
      <c r="H588" s="57"/>
      <c r="I588" s="48"/>
      <c r="J588" s="49"/>
      <c r="K588" s="49">
        <f>ROUND((132*$T$1),0)*1.05</f>
        <v>138.6</v>
      </c>
      <c r="L588" s="49"/>
      <c r="M588" s="49"/>
      <c r="N588" s="49"/>
      <c r="O588" s="49"/>
      <c r="P588" s="49"/>
      <c r="Q588" s="49"/>
    </row>
    <row r="589" spans="1:17" ht="15" customHeight="1" x14ac:dyDescent="0.3">
      <c r="A589" s="42"/>
      <c r="B589" s="51" t="s">
        <v>189</v>
      </c>
      <c r="C589" s="44"/>
      <c r="D589" s="47"/>
      <c r="E589" s="46"/>
      <c r="F589" s="47"/>
      <c r="G589" s="46"/>
      <c r="H589" s="57"/>
      <c r="I589" s="48"/>
      <c r="J589" s="49"/>
      <c r="K589" s="49">
        <f>ROUND((132*$T$1),0)*1.05</f>
        <v>138.6</v>
      </c>
      <c r="L589" s="49"/>
      <c r="M589" s="49"/>
      <c r="N589" s="49"/>
      <c r="O589" s="49"/>
      <c r="P589" s="49"/>
      <c r="Q589" s="49"/>
    </row>
    <row r="590" spans="1:17" ht="15" customHeight="1" x14ac:dyDescent="0.3">
      <c r="A590" s="42"/>
      <c r="B590" s="123" t="s">
        <v>187</v>
      </c>
      <c r="C590" s="44"/>
      <c r="D590" s="47"/>
      <c r="E590" s="46"/>
      <c r="F590" s="47"/>
      <c r="G590" s="46"/>
      <c r="H590" s="57"/>
      <c r="I590" s="48"/>
      <c r="J590" s="49"/>
      <c r="K590" s="49">
        <f>ROUND((220*$T$1),0)*1.05</f>
        <v>231</v>
      </c>
      <c r="L590" s="49"/>
      <c r="M590" s="49"/>
      <c r="N590" s="49"/>
      <c r="O590" s="49"/>
      <c r="P590" s="49"/>
      <c r="Q590" s="49"/>
    </row>
    <row r="591" spans="1:17" ht="15" customHeight="1" x14ac:dyDescent="0.3">
      <c r="A591" s="42"/>
      <c r="B591" s="44"/>
      <c r="C591" s="44"/>
      <c r="D591" s="47"/>
      <c r="E591" s="46"/>
      <c r="F591" s="47"/>
      <c r="G591" s="46"/>
      <c r="H591" s="57"/>
      <c r="I591" s="48"/>
      <c r="J591" s="49"/>
      <c r="K591" s="49"/>
      <c r="L591" s="49"/>
      <c r="M591" s="49"/>
      <c r="N591" s="49"/>
      <c r="O591" s="49"/>
      <c r="P591" s="49"/>
      <c r="Q591" s="49"/>
    </row>
    <row r="592" spans="1:17" ht="15" customHeight="1" x14ac:dyDescent="0.3">
      <c r="A592" s="42"/>
      <c r="B592" s="118" t="s">
        <v>190</v>
      </c>
      <c r="C592" s="44"/>
      <c r="D592" s="47"/>
      <c r="E592" s="46"/>
      <c r="F592" s="47"/>
      <c r="G592" s="46"/>
      <c r="H592" s="57"/>
      <c r="I592" s="48"/>
      <c r="J592" s="49"/>
      <c r="K592" s="49"/>
      <c r="L592" s="49"/>
      <c r="M592" s="49"/>
      <c r="N592" s="49"/>
      <c r="O592" s="49"/>
      <c r="P592" s="49"/>
      <c r="Q592" s="49"/>
    </row>
    <row r="593" spans="1:17" ht="15" customHeight="1" x14ac:dyDescent="0.3">
      <c r="A593" s="42"/>
      <c r="B593" s="44"/>
      <c r="C593" s="44"/>
      <c r="D593" s="47"/>
      <c r="E593" s="46"/>
      <c r="F593" s="47"/>
      <c r="G593" s="46"/>
      <c r="H593" s="57"/>
      <c r="I593" s="48"/>
      <c r="J593" s="49"/>
      <c r="K593" s="49"/>
      <c r="L593" s="49"/>
      <c r="M593" s="49"/>
      <c r="N593" s="49"/>
      <c r="O593" s="49"/>
      <c r="P593" s="49"/>
      <c r="Q593" s="49"/>
    </row>
    <row r="594" spans="1:17" ht="15" customHeight="1" x14ac:dyDescent="0.3">
      <c r="A594" s="93"/>
      <c r="B594" s="43" t="s">
        <v>394</v>
      </c>
      <c r="C594" s="44" t="s">
        <v>45</v>
      </c>
      <c r="D594" s="47">
        <v>1.5</v>
      </c>
      <c r="E594" s="46" t="s">
        <v>47</v>
      </c>
      <c r="F594" s="47">
        <v>1.24</v>
      </c>
      <c r="G594" s="46" t="s">
        <v>48</v>
      </c>
      <c r="H594" s="57">
        <v>0.9</v>
      </c>
      <c r="I594" s="48">
        <v>12.3</v>
      </c>
      <c r="J594" s="49">
        <f>ROUND((4161*$T$1),0)*1.05</f>
        <v>4369.05</v>
      </c>
      <c r="K594" s="49">
        <f>ROUND((4623*$T$1),0)*1.05</f>
        <v>4854.1500000000005</v>
      </c>
      <c r="L594" s="49">
        <f>ROUND((4705*$T$1),0)*1.05</f>
        <v>4940.25</v>
      </c>
      <c r="M594" s="49">
        <f>ROUND((4798*$T$1),0)*1.05</f>
        <v>5037.9000000000005</v>
      </c>
      <c r="N594" s="49">
        <f>ROUND((4892*$T$1),0)*1.05</f>
        <v>5136.6000000000004</v>
      </c>
      <c r="O594" s="49">
        <f>ROUND((4950*$T$1),0)*1.05</f>
        <v>5197.5</v>
      </c>
      <c r="P594" s="49">
        <f>ROUND((5119*$T$1),0)*1.05</f>
        <v>5374.95</v>
      </c>
      <c r="Q594" s="49">
        <f>ROUND((5400*$T$1),0)*1.05</f>
        <v>5670</v>
      </c>
    </row>
    <row r="595" spans="1:17" ht="15" customHeight="1" x14ac:dyDescent="0.3">
      <c r="A595" s="42"/>
      <c r="B595" s="43" t="s">
        <v>395</v>
      </c>
      <c r="C595" s="44" t="s">
        <v>45</v>
      </c>
      <c r="D595" s="47">
        <v>1.4</v>
      </c>
      <c r="E595" s="46" t="s">
        <v>47</v>
      </c>
      <c r="F595" s="47">
        <v>1.24</v>
      </c>
      <c r="G595" s="46" t="s">
        <v>48</v>
      </c>
      <c r="H595" s="57">
        <v>0.9</v>
      </c>
      <c r="I595" s="48">
        <v>11.7</v>
      </c>
      <c r="J595" s="49">
        <f>ROUND((3953*$T$1),0)*1.05</f>
        <v>4150.6500000000005</v>
      </c>
      <c r="K595" s="49">
        <f>ROUND((4545*$T$1),0)*1.05</f>
        <v>4772.25</v>
      </c>
      <c r="L595" s="49">
        <f>ROUND((4469*$T$1),0)*1.05</f>
        <v>4692.45</v>
      </c>
      <c r="M595" s="49">
        <f>ROUND((4559*$T$1),0)*1.05</f>
        <v>4786.95</v>
      </c>
      <c r="N595" s="49">
        <f>ROUND((4647*$T$1),0)*1.05</f>
        <v>4879.3500000000004</v>
      </c>
      <c r="O595" s="49">
        <f>ROUND((4702*$T$1),0)*1.05</f>
        <v>4937.1000000000004</v>
      </c>
      <c r="P595" s="49">
        <f>ROUND((4862*$T$1),0)*1.05</f>
        <v>5105.1000000000004</v>
      </c>
      <c r="Q595" s="49">
        <f>ROUND((5130*$T$1),0)*1.05</f>
        <v>5386.5</v>
      </c>
    </row>
    <row r="596" spans="1:17" ht="15" customHeight="1" x14ac:dyDescent="0.3">
      <c r="A596" s="42"/>
      <c r="B596" s="43" t="s">
        <v>396</v>
      </c>
      <c r="C596" s="44" t="s">
        <v>45</v>
      </c>
      <c r="D596" s="47">
        <v>1.3</v>
      </c>
      <c r="E596" s="46" t="s">
        <v>47</v>
      </c>
      <c r="F596" s="47">
        <v>1.24</v>
      </c>
      <c r="G596" s="46" t="s">
        <v>48</v>
      </c>
      <c r="H596" s="57">
        <v>0.9</v>
      </c>
      <c r="I596" s="48">
        <v>11.2</v>
      </c>
      <c r="J596" s="49">
        <f>ROUND((3756*$T$1),0)*1.05</f>
        <v>3943.8</v>
      </c>
      <c r="K596" s="49">
        <f>ROUND((4172*$T$1),0)*1.05</f>
        <v>4380.6000000000004</v>
      </c>
      <c r="L596" s="49">
        <f>ROUND((4246*$T$1),0)*1.05</f>
        <v>4458.3</v>
      </c>
      <c r="M596" s="49">
        <f>ROUND((4331*$T$1),0)*1.05</f>
        <v>4547.55</v>
      </c>
      <c r="N596" s="49">
        <f>ROUND((4415*$T$1),0)*1.05</f>
        <v>4635.75</v>
      </c>
      <c r="O596" s="49">
        <f>ROUND((4467*$T$1),0)*1.05</f>
        <v>4690.3500000000004</v>
      </c>
      <c r="P596" s="49">
        <f>ROUND((4620*$T$1),0)*1.05</f>
        <v>4851</v>
      </c>
      <c r="Q596" s="49">
        <f>ROUND((4874*$T$1),0)*1.05</f>
        <v>5117.7</v>
      </c>
    </row>
    <row r="597" spans="1:17" ht="15" customHeight="1" x14ac:dyDescent="0.3">
      <c r="A597" s="42"/>
      <c r="B597" s="43" t="s">
        <v>397</v>
      </c>
      <c r="C597" s="44" t="s">
        <v>45</v>
      </c>
      <c r="D597" s="47">
        <v>1.2</v>
      </c>
      <c r="E597" s="46" t="s">
        <v>47</v>
      </c>
      <c r="F597" s="47">
        <v>1.24</v>
      </c>
      <c r="G597" s="46" t="s">
        <v>48</v>
      </c>
      <c r="H597" s="57">
        <v>0.9</v>
      </c>
      <c r="I597" s="48">
        <v>10.7</v>
      </c>
      <c r="J597" s="49">
        <f>ROUND((3567*$T$1),0)*1.05</f>
        <v>3745.3500000000004</v>
      </c>
      <c r="K597" s="49">
        <f>ROUND((3974*$T$1),0)*1.05</f>
        <v>4172.7</v>
      </c>
      <c r="L597" s="49">
        <f>ROUND((4033*$T$1),0)*1.05</f>
        <v>4234.6500000000005</v>
      </c>
      <c r="M597" s="49">
        <f>ROUND((4114*$T$1),0)*1.05</f>
        <v>4319.7</v>
      </c>
      <c r="N597" s="49">
        <f>ROUND((4194*$T$1),0)*1.05</f>
        <v>4403.7</v>
      </c>
      <c r="O597" s="49">
        <f>ROUND((4244*$T$1),0)*1.05</f>
        <v>4456.2</v>
      </c>
      <c r="P597" s="49">
        <f>ROUND((4388*$T$1),0)*1.05</f>
        <v>4607.4000000000005</v>
      </c>
      <c r="Q597" s="49">
        <f>ROUND((4630*$T$1),0)*1.05</f>
        <v>4861.5</v>
      </c>
    </row>
    <row r="598" spans="1:17" ht="15" customHeight="1" x14ac:dyDescent="0.3">
      <c r="A598" s="42"/>
      <c r="B598" s="44"/>
      <c r="C598" s="44"/>
      <c r="D598" s="47"/>
      <c r="E598" s="46"/>
      <c r="F598" s="47"/>
      <c r="G598" s="46"/>
      <c r="H598" s="57"/>
      <c r="I598" s="48"/>
      <c r="J598" s="49"/>
      <c r="K598" s="49"/>
      <c r="L598" s="49"/>
      <c r="M598" s="49"/>
      <c r="N598" s="49"/>
      <c r="O598" s="49"/>
      <c r="P598" s="49"/>
      <c r="Q598" s="49"/>
    </row>
    <row r="599" spans="1:17" ht="15" customHeight="1" x14ac:dyDescent="0.3">
      <c r="A599" s="93"/>
      <c r="B599" s="43" t="s">
        <v>321</v>
      </c>
      <c r="C599" s="44" t="s">
        <v>45</v>
      </c>
      <c r="D599" s="47">
        <v>1.4</v>
      </c>
      <c r="E599" s="46" t="s">
        <v>47</v>
      </c>
      <c r="F599" s="47">
        <v>1.24</v>
      </c>
      <c r="G599" s="46" t="s">
        <v>48</v>
      </c>
      <c r="H599" s="57">
        <v>0.9</v>
      </c>
      <c r="I599" s="48">
        <v>12</v>
      </c>
      <c r="J599" s="49">
        <f>ROUND((4078*$T$1),0)*1.05</f>
        <v>4281.9000000000005</v>
      </c>
      <c r="K599" s="49">
        <f>ROUND((4531*$T$1),0)*1.05</f>
        <v>4757.55</v>
      </c>
      <c r="L599" s="49">
        <f>ROUND((4610*$T$1),0)*1.05</f>
        <v>4840.5</v>
      </c>
      <c r="M599" s="49">
        <f>ROUND((4702*$T$1),0)*1.05</f>
        <v>4937.1000000000004</v>
      </c>
      <c r="N599" s="49">
        <f>ROUND((4794*$T$1),0)*1.05</f>
        <v>5033.7</v>
      </c>
      <c r="O599" s="49">
        <f>ROUND((4851*$T$1),0)*1.05</f>
        <v>5093.55</v>
      </c>
      <c r="P599" s="49">
        <f>ROUND((5016*$T$1),0)*1.05</f>
        <v>5266.8</v>
      </c>
      <c r="Q599" s="49">
        <f>ROUND((5292*$T$1),0)*1.05</f>
        <v>5556.6</v>
      </c>
    </row>
    <row r="600" spans="1:17" ht="15" customHeight="1" x14ac:dyDescent="0.3">
      <c r="A600" s="42"/>
      <c r="B600" s="43" t="s">
        <v>322</v>
      </c>
      <c r="C600" s="44" t="s">
        <v>45</v>
      </c>
      <c r="D600" s="47">
        <v>1.3</v>
      </c>
      <c r="E600" s="46" t="s">
        <v>47</v>
      </c>
      <c r="F600" s="47">
        <v>1.24</v>
      </c>
      <c r="G600" s="46" t="s">
        <v>48</v>
      </c>
      <c r="H600" s="57">
        <v>0.9</v>
      </c>
      <c r="I600" s="48">
        <v>11.4</v>
      </c>
      <c r="J600" s="49">
        <f>ROUND((3874*$T$1),0)*1.05</f>
        <v>4067.7000000000003</v>
      </c>
      <c r="K600" s="49">
        <f>ROUND((4304*$T$1),0)*1.05</f>
        <v>4519.2</v>
      </c>
      <c r="L600" s="49">
        <f>ROUND((4380*$T$1),0)*1.05</f>
        <v>4599</v>
      </c>
      <c r="M600" s="49">
        <f>ROUND((4468*$T$1),0)*1.05</f>
        <v>4691.4000000000005</v>
      </c>
      <c r="N600" s="49">
        <f>ROUND((4555*$T$1),0)*1.05</f>
        <v>4782.75</v>
      </c>
      <c r="O600" s="49">
        <f>ROUND((4608*$T$1),0)*1.05</f>
        <v>4838.4000000000005</v>
      </c>
      <c r="P600" s="49">
        <f>ROUND((4766*$T$1),0)*1.05</f>
        <v>5004.3</v>
      </c>
      <c r="Q600" s="49">
        <f>ROUND((5028*$T$1),0)*1.05</f>
        <v>5279.4000000000005</v>
      </c>
    </row>
    <row r="601" spans="1:17" ht="15" customHeight="1" x14ac:dyDescent="0.3">
      <c r="A601" s="42"/>
      <c r="B601" s="43" t="s">
        <v>323</v>
      </c>
      <c r="C601" s="44" t="s">
        <v>45</v>
      </c>
      <c r="D601" s="47">
        <v>1.2</v>
      </c>
      <c r="E601" s="46" t="s">
        <v>47</v>
      </c>
      <c r="F601" s="47">
        <v>1.24</v>
      </c>
      <c r="G601" s="46" t="s">
        <v>48</v>
      </c>
      <c r="H601" s="57">
        <v>0.9</v>
      </c>
      <c r="I601" s="48">
        <v>10.9</v>
      </c>
      <c r="J601" s="49">
        <f>ROUND((3680*$T$1),0)*1.05</f>
        <v>3864</v>
      </c>
      <c r="K601" s="49">
        <f>ROUND((4089*$T$1),0)*1.05</f>
        <v>4293.45</v>
      </c>
      <c r="L601" s="49">
        <f>ROUND((4161*$T$1),0)*1.05</f>
        <v>4369.05</v>
      </c>
      <c r="M601" s="49">
        <f>ROUND((4244*$T$1),0)*1.05</f>
        <v>4456.2</v>
      </c>
      <c r="N601" s="49">
        <f>ROUND((4327*$T$1),0)*1.05</f>
        <v>4543.3500000000004</v>
      </c>
      <c r="O601" s="49">
        <f>ROUND((4378*$T$1),0)*1.05</f>
        <v>4596.9000000000005</v>
      </c>
      <c r="P601" s="49">
        <f>ROUND((4528*$T$1),0)*1.05</f>
        <v>4754.4000000000005</v>
      </c>
      <c r="Q601" s="49">
        <f>ROUND((4776*$T$1),0)*1.05</f>
        <v>5014.8</v>
      </c>
    </row>
    <row r="602" spans="1:17" ht="15" customHeight="1" x14ac:dyDescent="0.3">
      <c r="A602" s="42"/>
      <c r="B602" s="43" t="s">
        <v>345</v>
      </c>
      <c r="C602" s="44" t="s">
        <v>45</v>
      </c>
      <c r="D602" s="47">
        <v>1.1000000000000001</v>
      </c>
      <c r="E602" s="46" t="s">
        <v>47</v>
      </c>
      <c r="F602" s="47">
        <v>1.24</v>
      </c>
      <c r="G602" s="46" t="s">
        <v>48</v>
      </c>
      <c r="H602" s="57">
        <v>0.9</v>
      </c>
      <c r="I602" s="48">
        <v>10.4</v>
      </c>
      <c r="J602" s="49">
        <f>ROUND((3496*$T$1),0)*1.05</f>
        <v>3670.8</v>
      </c>
      <c r="K602" s="49">
        <f>ROUND((3885*$T$1),0)*1.05</f>
        <v>4079.25</v>
      </c>
      <c r="L602" s="49">
        <f>ROUND((3953*$T$1),0)*1.05</f>
        <v>4150.6500000000005</v>
      </c>
      <c r="M602" s="49">
        <f>ROUND((4032*$T$1),0)*1.05</f>
        <v>4233.6000000000004</v>
      </c>
      <c r="N602" s="49">
        <f>ROUND((4110*$T$1),0)*1.05</f>
        <v>4315.5</v>
      </c>
      <c r="O602" s="49">
        <f>ROUND((4158*$T$1),0)*1.05</f>
        <v>4365.9000000000005</v>
      </c>
      <c r="P602" s="49">
        <f>ROUND((4301*$T$1),0)*1.05</f>
        <v>4516.05</v>
      </c>
      <c r="Q602" s="49">
        <f>ROUND((4538*$T$1),0)*1.05</f>
        <v>4764.9000000000005</v>
      </c>
    </row>
    <row r="603" spans="1:17" ht="15" customHeight="1" x14ac:dyDescent="0.3">
      <c r="A603" s="42"/>
      <c r="B603" s="44"/>
      <c r="C603" s="44"/>
      <c r="D603" s="47"/>
      <c r="E603" s="46"/>
      <c r="F603" s="47"/>
      <c r="G603" s="46"/>
      <c r="H603" s="57"/>
      <c r="I603" s="48"/>
      <c r="J603" s="49"/>
      <c r="K603" s="49"/>
      <c r="L603" s="49"/>
      <c r="M603" s="49"/>
      <c r="N603" s="49"/>
      <c r="O603" s="49"/>
      <c r="P603" s="49"/>
      <c r="Q603" s="49"/>
    </row>
    <row r="604" spans="1:17" ht="15" customHeight="1" x14ac:dyDescent="0.3">
      <c r="A604" s="93"/>
      <c r="B604" s="43" t="s">
        <v>346</v>
      </c>
      <c r="C604" s="44" t="s">
        <v>45</v>
      </c>
      <c r="D604" s="47">
        <v>1.2</v>
      </c>
      <c r="E604" s="46" t="s">
        <v>47</v>
      </c>
      <c r="F604" s="47">
        <v>1.24</v>
      </c>
      <c r="G604" s="46" t="s">
        <v>48</v>
      </c>
      <c r="H604" s="57">
        <v>0.9</v>
      </c>
      <c r="I604" s="48">
        <v>10</v>
      </c>
      <c r="J604" s="49">
        <f>ROUND((3876*$T$1),0)*1.05</f>
        <v>4069.8</v>
      </c>
      <c r="K604" s="49">
        <f>ROUND((4306*$T$1),0)*1.05</f>
        <v>4521.3</v>
      </c>
      <c r="L604" s="49">
        <f>ROUND((4375*$T$1),0)*1.05</f>
        <v>4593.75</v>
      </c>
      <c r="M604" s="49">
        <f>ROUND((4453*$T$1),0)*1.05</f>
        <v>4675.6500000000005</v>
      </c>
      <c r="N604" s="49">
        <f>ROUND((4532*$T$1),0)*1.05</f>
        <v>4758.6000000000004</v>
      </c>
      <c r="O604" s="49">
        <f>ROUND((4579*$T$1),0)*1.05</f>
        <v>4807.95</v>
      </c>
      <c r="P604" s="49">
        <f>ROUND((4722*$T$1),0)*1.05</f>
        <v>4958.1000000000004</v>
      </c>
      <c r="Q604" s="49">
        <f>ROUND((4959*$T$1),0)*1.05</f>
        <v>5206.95</v>
      </c>
    </row>
    <row r="605" spans="1:17" ht="15" customHeight="1" x14ac:dyDescent="0.3">
      <c r="A605" s="42"/>
      <c r="B605" s="43" t="s">
        <v>347</v>
      </c>
      <c r="C605" s="44" t="s">
        <v>45</v>
      </c>
      <c r="D605" s="47">
        <v>1.1000000000000001</v>
      </c>
      <c r="E605" s="46" t="s">
        <v>47</v>
      </c>
      <c r="F605" s="47">
        <v>1.24</v>
      </c>
      <c r="G605" s="46" t="s">
        <v>48</v>
      </c>
      <c r="H605" s="57">
        <v>0.9</v>
      </c>
      <c r="I605" s="48">
        <v>10.9</v>
      </c>
      <c r="J605" s="49">
        <f>ROUND((3680*$T$1),0)*1.05</f>
        <v>3864</v>
      </c>
      <c r="K605" s="49">
        <f>ROUND((4089*$T$1),0)*1.05</f>
        <v>4293.45</v>
      </c>
      <c r="L605" s="49">
        <f>ROUND((4161*$T$1),0)*1.05</f>
        <v>4369.05</v>
      </c>
      <c r="M605" s="49">
        <f>ROUND((4244*$T$1),0)*1.05</f>
        <v>4456.2</v>
      </c>
      <c r="N605" s="49">
        <f>ROUND((4327*$T$1),0)*1.05</f>
        <v>4543.3500000000004</v>
      </c>
      <c r="O605" s="49">
        <f>ROUND((4378*$T$1),0)*1.05</f>
        <v>4596.9000000000005</v>
      </c>
      <c r="P605" s="49">
        <f>ROUND((4528*$T$1),0)*1.05</f>
        <v>4754.4000000000005</v>
      </c>
      <c r="Q605" s="49">
        <f>ROUND((4776*$T$1),0)*1.05</f>
        <v>5014.8</v>
      </c>
    </row>
    <row r="606" spans="1:17" ht="15" customHeight="1" x14ac:dyDescent="0.3">
      <c r="A606" s="42"/>
      <c r="B606" s="43" t="s">
        <v>348</v>
      </c>
      <c r="C606" s="44" t="s">
        <v>45</v>
      </c>
      <c r="D606" s="47">
        <v>1</v>
      </c>
      <c r="E606" s="46" t="s">
        <v>47</v>
      </c>
      <c r="F606" s="47">
        <v>1.24</v>
      </c>
      <c r="G606" s="46" t="s">
        <v>48</v>
      </c>
      <c r="H606" s="57">
        <v>0.9</v>
      </c>
      <c r="I606" s="48">
        <v>10.4</v>
      </c>
      <c r="J606" s="49">
        <f>ROUND((3496*$T$1),0)*1.05</f>
        <v>3670.8</v>
      </c>
      <c r="K606" s="49">
        <f>ROUND((3885*$T$1),0)*1.05</f>
        <v>4079.25</v>
      </c>
      <c r="L606" s="49">
        <f>ROUND((3953*$T$1),0)*1.05</f>
        <v>4150.6500000000005</v>
      </c>
      <c r="M606" s="49">
        <f>ROUND((4032*$T$1),0)*1.05</f>
        <v>4233.6000000000004</v>
      </c>
      <c r="N606" s="49">
        <f>ROUND((4110*$T$1),0)*1.05</f>
        <v>4315.5</v>
      </c>
      <c r="O606" s="49">
        <f>ROUND((4158*$T$1),0)*1.05</f>
        <v>4365.9000000000005</v>
      </c>
      <c r="P606" s="49">
        <f>ROUND((4301*$T$1),0)*1.05</f>
        <v>4516.05</v>
      </c>
      <c r="Q606" s="49">
        <f>ROUND((4538*$T$1),0)*1.05</f>
        <v>4764.9000000000005</v>
      </c>
    </row>
    <row r="607" spans="1:17" ht="15" customHeight="1" x14ac:dyDescent="0.3">
      <c r="A607" s="42"/>
      <c r="B607" s="43" t="s">
        <v>349</v>
      </c>
      <c r="C607" s="44" t="s">
        <v>45</v>
      </c>
      <c r="D607" s="47">
        <v>0.9</v>
      </c>
      <c r="E607" s="46" t="s">
        <v>47</v>
      </c>
      <c r="F607" s="47">
        <v>1.24</v>
      </c>
      <c r="G607" s="46" t="s">
        <v>48</v>
      </c>
      <c r="H607" s="57">
        <v>0.9</v>
      </c>
      <c r="I607" s="48">
        <v>9.9</v>
      </c>
      <c r="J607" s="49">
        <f>ROUND((3321*$T$1),0)*1.05</f>
        <v>3487.05</v>
      </c>
      <c r="K607" s="49">
        <f>ROUND((3690*$T$1),0)*1.05</f>
        <v>3874.5</v>
      </c>
      <c r="L607" s="49">
        <f>ROUND((3755*$T$1),0)*1.05</f>
        <v>3942.75</v>
      </c>
      <c r="M607" s="49">
        <f>ROUND((3831*$T$1),0)*1.05</f>
        <v>4022.55</v>
      </c>
      <c r="N607" s="49">
        <f>ROUND((3905*$T$1),0)*1.05</f>
        <v>4100.25</v>
      </c>
      <c r="O607" s="49">
        <f>ROUND((3951*$T$1),0)*1.05</f>
        <v>4148.55</v>
      </c>
      <c r="P607" s="49">
        <f>ROUND((4086*$T$1),0)*1.05</f>
        <v>4290.3</v>
      </c>
      <c r="Q607" s="49">
        <f>ROUND((4310*$T$1),0)*1.05</f>
        <v>4525.5</v>
      </c>
    </row>
    <row r="608" spans="1:17" ht="15" customHeight="1" x14ac:dyDescent="0.3">
      <c r="A608" s="42"/>
      <c r="B608" s="44"/>
      <c r="C608" s="44"/>
      <c r="D608" s="47"/>
      <c r="E608" s="46"/>
      <c r="F608" s="47"/>
      <c r="G608" s="46"/>
      <c r="H608" s="57"/>
      <c r="I608" s="48"/>
      <c r="J608" s="49"/>
      <c r="K608" s="49"/>
      <c r="L608" s="49"/>
      <c r="M608" s="49"/>
      <c r="N608" s="49"/>
      <c r="O608" s="49"/>
      <c r="P608" s="49"/>
      <c r="Q608" s="49"/>
    </row>
    <row r="609" spans="1:17" ht="15" customHeight="1" x14ac:dyDescent="0.3">
      <c r="A609" s="93"/>
      <c r="B609" s="44" t="s">
        <v>98</v>
      </c>
      <c r="C609" s="44" t="s">
        <v>45</v>
      </c>
      <c r="D609" s="47">
        <v>1.2</v>
      </c>
      <c r="E609" s="46" t="s">
        <v>47</v>
      </c>
      <c r="F609" s="47">
        <v>1.2</v>
      </c>
      <c r="G609" s="46" t="s">
        <v>48</v>
      </c>
      <c r="H609" s="57">
        <v>0.5</v>
      </c>
      <c r="I609" s="48">
        <v>5</v>
      </c>
      <c r="J609" s="49">
        <f>ROUND((1938*$T$1),0)*1.05</f>
        <v>2034.9</v>
      </c>
      <c r="K609" s="49">
        <f>ROUND((2153*$T$1),0)*1.05</f>
        <v>2260.65</v>
      </c>
      <c r="L609" s="49">
        <f>ROUND((2187*$T$1),0)*1.05</f>
        <v>2296.35</v>
      </c>
      <c r="M609" s="49">
        <f>ROUND((2226*$T$1),0)*1.05</f>
        <v>2337.3000000000002</v>
      </c>
      <c r="N609" s="49">
        <f>ROUND((2267*$T$1),0)*1.05</f>
        <v>2380.35</v>
      </c>
      <c r="O609" s="49">
        <f>ROUND((2290*$T$1),0)*1.05</f>
        <v>2404.5</v>
      </c>
      <c r="P609" s="49">
        <f>ROUND((2361*$T$1),0)*1.05</f>
        <v>2479.0500000000002</v>
      </c>
      <c r="Q609" s="49">
        <f>ROUND((2479*$T$1),0)*1.05</f>
        <v>2602.9500000000003</v>
      </c>
    </row>
    <row r="610" spans="1:17" ht="15" customHeight="1" x14ac:dyDescent="0.3">
      <c r="A610" s="42"/>
      <c r="B610" s="44" t="s">
        <v>398</v>
      </c>
      <c r="C610" s="44" t="s">
        <v>45</v>
      </c>
      <c r="D610" s="47">
        <v>1.27</v>
      </c>
      <c r="E610" s="46" t="s">
        <v>47</v>
      </c>
      <c r="F610" s="47">
        <v>1.27</v>
      </c>
      <c r="G610" s="46" t="s">
        <v>48</v>
      </c>
      <c r="H610" s="57">
        <v>0.9</v>
      </c>
      <c r="I610" s="48">
        <v>9.5</v>
      </c>
      <c r="J610" s="49">
        <f>ROUND((3681*$T$1),0)*1.05</f>
        <v>3865.05</v>
      </c>
      <c r="K610" s="49">
        <f>ROUND((4091*$T$1),0)*1.05</f>
        <v>4295.55</v>
      </c>
      <c r="L610" s="49">
        <f>ROUND((4156*$T$1),0)*1.05</f>
        <v>4363.8</v>
      </c>
      <c r="M610" s="49">
        <f>ROUND((4230*$T$1),0)*1.05</f>
        <v>4441.5</v>
      </c>
      <c r="N610" s="49">
        <f>ROUND((4306*$T$1),0)*1.05</f>
        <v>4521.3</v>
      </c>
      <c r="O610" s="49">
        <f>ROUND((4350*$T$1),0)*1.05</f>
        <v>4567.5</v>
      </c>
      <c r="P610" s="49">
        <f>ROUND((4486*$T$1),0)*1.05</f>
        <v>4710.3</v>
      </c>
      <c r="Q610" s="49">
        <f>ROUND((4710*$T$1),0)*1.05</f>
        <v>4945.5</v>
      </c>
    </row>
    <row r="611" spans="1:17" ht="15" customHeight="1" x14ac:dyDescent="0.3">
      <c r="A611" s="42"/>
      <c r="B611" s="44" t="s">
        <v>399</v>
      </c>
      <c r="C611" s="44" t="s">
        <v>45</v>
      </c>
      <c r="D611" s="47">
        <v>1.4</v>
      </c>
      <c r="E611" s="46" t="s">
        <v>47</v>
      </c>
      <c r="F611" s="47">
        <v>1.75</v>
      </c>
      <c r="G611" s="46" t="s">
        <v>48</v>
      </c>
      <c r="H611" s="57">
        <v>0.9</v>
      </c>
      <c r="I611" s="48">
        <v>13</v>
      </c>
      <c r="J611" s="49">
        <f>ROUND((4405*$T$1),0)*1.05</f>
        <v>4625.25</v>
      </c>
      <c r="K611" s="49">
        <f>ROUND((4893*$T$1),0)*1.05</f>
        <v>5137.6500000000005</v>
      </c>
      <c r="L611" s="49">
        <f>ROUND((4980*$T$1),0)*1.05</f>
        <v>5229</v>
      </c>
      <c r="M611" s="49">
        <f>ROUND((5078*$T$1),0)*1.05</f>
        <v>5331.9000000000005</v>
      </c>
      <c r="N611" s="49">
        <f>ROUND((5178*$T$1),0)*1.05</f>
        <v>5436.9000000000005</v>
      </c>
      <c r="O611" s="49">
        <f>ROUND((5238*$T$1),0)*1.05</f>
        <v>5499.9000000000005</v>
      </c>
      <c r="P611" s="49">
        <f>ROUND((5418*$T$1),0)*1.05</f>
        <v>5688.9000000000005</v>
      </c>
      <c r="Q611" s="49">
        <f>ROUND((5716*$T$1),0)*1.05</f>
        <v>6001.8</v>
      </c>
    </row>
    <row r="612" spans="1:17" ht="15" customHeight="1" x14ac:dyDescent="0.3">
      <c r="A612" s="93"/>
      <c r="B612" s="44"/>
      <c r="C612" s="44"/>
      <c r="D612" s="47"/>
      <c r="E612" s="46"/>
      <c r="F612" s="47"/>
      <c r="G612" s="46"/>
      <c r="H612" s="57"/>
      <c r="I612" s="48"/>
      <c r="J612" s="49"/>
      <c r="K612" s="49"/>
      <c r="L612" s="49"/>
      <c r="M612" s="49"/>
      <c r="N612" s="49"/>
      <c r="O612" s="49"/>
      <c r="P612" s="49"/>
      <c r="Q612" s="49"/>
    </row>
    <row r="613" spans="1:17" ht="15" customHeight="1" x14ac:dyDescent="0.3">
      <c r="A613" s="93"/>
      <c r="B613" s="95" t="s">
        <v>400</v>
      </c>
      <c r="C613" s="95"/>
      <c r="D613" s="95"/>
      <c r="E613" s="95"/>
      <c r="F613" s="95"/>
      <c r="G613" s="95"/>
      <c r="H613" s="95"/>
      <c r="I613" s="95"/>
      <c r="J613" s="96"/>
      <c r="K613" s="96"/>
      <c r="L613" s="96"/>
      <c r="M613" s="96"/>
      <c r="N613" s="96"/>
      <c r="O613" s="96"/>
      <c r="P613" s="96"/>
      <c r="Q613" s="96"/>
    </row>
    <row r="614" spans="1:17" ht="15" customHeight="1" x14ac:dyDescent="0.3">
      <c r="A614" s="42"/>
      <c r="B614" s="95"/>
      <c r="C614" s="95"/>
      <c r="D614" s="95"/>
      <c r="E614" s="95"/>
      <c r="F614" s="95"/>
      <c r="G614" s="95"/>
      <c r="H614" s="95"/>
      <c r="I614" s="95"/>
      <c r="J614" s="96"/>
      <c r="K614" s="96"/>
      <c r="L614" s="96"/>
      <c r="M614" s="87" t="s">
        <v>134</v>
      </c>
      <c r="N614" s="96"/>
      <c r="O614" s="96"/>
      <c r="P614" s="96"/>
      <c r="Q614" s="96"/>
    </row>
    <row r="615" spans="1:17" ht="15" customHeight="1" x14ac:dyDescent="0.3">
      <c r="A615" s="42"/>
      <c r="B615" s="59" t="s">
        <v>401</v>
      </c>
      <c r="C615" s="61"/>
      <c r="D615" s="61"/>
      <c r="E615" s="61"/>
      <c r="F615" s="61"/>
      <c r="G615" s="61"/>
      <c r="H615" s="61"/>
      <c r="I615" s="61"/>
      <c r="J615" s="62"/>
      <c r="K615" s="62"/>
      <c r="L615" s="62"/>
      <c r="M615" s="62"/>
      <c r="N615" s="62"/>
      <c r="O615" s="62"/>
      <c r="P615" s="62"/>
      <c r="Q615" s="62"/>
    </row>
    <row r="616" spans="1:17" ht="15" customHeight="1" x14ac:dyDescent="0.3">
      <c r="A616" s="42"/>
      <c r="B616" s="86"/>
      <c r="C616" s="64"/>
      <c r="D616" s="63"/>
      <c r="E616" s="63"/>
      <c r="F616" s="63"/>
      <c r="G616" s="63"/>
      <c r="H616" s="63"/>
      <c r="I616" s="48"/>
      <c r="J616" s="49"/>
      <c r="K616" s="49"/>
      <c r="L616" s="49"/>
      <c r="M616" s="49"/>
      <c r="N616" s="49"/>
      <c r="O616" s="49"/>
      <c r="P616" s="49"/>
      <c r="Q616" s="49"/>
    </row>
    <row r="617" spans="1:17" ht="29.1" customHeight="1" x14ac:dyDescent="0.25">
      <c r="A617" s="89" t="s">
        <v>402</v>
      </c>
      <c r="B617" s="77"/>
      <c r="C617" s="187" t="s">
        <v>41</v>
      </c>
      <c r="D617" s="187"/>
      <c r="E617" s="187"/>
      <c r="F617" s="187"/>
      <c r="G617" s="187"/>
      <c r="H617" s="187"/>
      <c r="I617" s="78" t="s">
        <v>42</v>
      </c>
      <c r="J617" s="41" t="s">
        <v>43</v>
      </c>
      <c r="K617" s="41">
        <v>1000</v>
      </c>
      <c r="L617" s="41">
        <v>2000</v>
      </c>
      <c r="M617" s="41">
        <v>3000</v>
      </c>
      <c r="N617" s="41">
        <v>4000</v>
      </c>
      <c r="O617" s="41">
        <v>5000</v>
      </c>
      <c r="P617" s="41">
        <v>6000</v>
      </c>
      <c r="Q617" s="41">
        <v>7000</v>
      </c>
    </row>
    <row r="618" spans="1:17" ht="15" customHeight="1" x14ac:dyDescent="0.3">
      <c r="A618" s="42"/>
      <c r="B618" s="43" t="s">
        <v>403</v>
      </c>
      <c r="C618" s="44" t="s">
        <v>45</v>
      </c>
      <c r="D618" s="47">
        <v>1.45</v>
      </c>
      <c r="E618" s="46" t="s">
        <v>47</v>
      </c>
      <c r="F618" s="47">
        <v>1.25</v>
      </c>
      <c r="G618" s="46" t="s">
        <v>48</v>
      </c>
      <c r="H618" s="57">
        <v>0.9</v>
      </c>
      <c r="I618" s="48">
        <v>10</v>
      </c>
      <c r="J618" s="49">
        <f>ROUND((3865*$T$1),0)*1.05</f>
        <v>4058.25</v>
      </c>
      <c r="K618" s="49">
        <f>ROUND((4294*$T$1),0)*1.05</f>
        <v>4508.7</v>
      </c>
      <c r="L618" s="49">
        <f>ROUND((4361*$T$1),0)*1.05</f>
        <v>4579.05</v>
      </c>
      <c r="M618" s="49">
        <f>ROUND((4439*$T$1),0)*1.05</f>
        <v>4660.95</v>
      </c>
      <c r="N618" s="49">
        <f>ROUND((4516*$T$1),0)*1.05</f>
        <v>4741.8</v>
      </c>
      <c r="O618" s="49">
        <f>ROUND((4562*$T$1),0)*1.05</f>
        <v>4790.1000000000004</v>
      </c>
      <c r="P618" s="49">
        <f>ROUND((4702*$T$1),0)*1.05</f>
        <v>4937.1000000000004</v>
      </c>
      <c r="Q618" s="49">
        <f>ROUND((4935*$T$1),0)*1.05</f>
        <v>5181.75</v>
      </c>
    </row>
    <row r="619" spans="1:17" ht="15" customHeight="1" x14ac:dyDescent="0.3">
      <c r="A619" s="42"/>
      <c r="B619" s="43" t="s">
        <v>404</v>
      </c>
      <c r="C619" s="44" t="s">
        <v>45</v>
      </c>
      <c r="D619" s="47">
        <v>1.35</v>
      </c>
      <c r="E619" s="46" t="s">
        <v>47</v>
      </c>
      <c r="F619" s="47">
        <v>1.25</v>
      </c>
      <c r="G619" s="46" t="s">
        <v>48</v>
      </c>
      <c r="H619" s="57">
        <v>0.9</v>
      </c>
      <c r="I619" s="48">
        <v>9.5</v>
      </c>
      <c r="J619" s="49">
        <f>ROUND((3672*$T$1),0)*1.05</f>
        <v>3855.6000000000004</v>
      </c>
      <c r="K619" s="49">
        <f>ROUND((4079*$T$1),0)*1.05</f>
        <v>4282.95</v>
      </c>
      <c r="L619" s="49">
        <f>ROUND((4142*$T$1),0)*1.05</f>
        <v>4349.1000000000004</v>
      </c>
      <c r="M619" s="49">
        <f>ROUND((4217*$T$1),0)*1.05</f>
        <v>4427.8500000000004</v>
      </c>
      <c r="N619" s="49">
        <f>ROUND((4291*$T$1),0)*1.05</f>
        <v>4505.55</v>
      </c>
      <c r="O619" s="49">
        <f>ROUND((4334*$T$1),0)*1.05</f>
        <v>4550.7</v>
      </c>
      <c r="P619" s="49">
        <f>ROUND((4468*$T$1),0)*1.05</f>
        <v>4691.4000000000005</v>
      </c>
      <c r="Q619" s="49">
        <f>ROUND((4687*$T$1),0)*1.05</f>
        <v>4921.3500000000004</v>
      </c>
    </row>
    <row r="620" spans="1:17" ht="15" customHeight="1" x14ac:dyDescent="0.3">
      <c r="A620" s="42"/>
      <c r="B620" s="43" t="s">
        <v>405</v>
      </c>
      <c r="C620" s="44" t="s">
        <v>45</v>
      </c>
      <c r="D620" s="47">
        <v>1.25</v>
      </c>
      <c r="E620" s="46" t="s">
        <v>47</v>
      </c>
      <c r="F620" s="47">
        <v>1.25</v>
      </c>
      <c r="G620" s="46" t="s">
        <v>48</v>
      </c>
      <c r="H620" s="57">
        <v>0.9</v>
      </c>
      <c r="I620" s="48">
        <v>9.1</v>
      </c>
      <c r="J620" s="49">
        <f>ROUND((3488*$T$1),0)*1.05</f>
        <v>3662.4</v>
      </c>
      <c r="K620" s="49">
        <f>ROUND((3876*$T$1),0)*1.05</f>
        <v>4069.8</v>
      </c>
      <c r="L620" s="49">
        <f>ROUND((3935*$T$1),0)*1.05</f>
        <v>4131.75</v>
      </c>
      <c r="M620" s="49">
        <f>ROUND((4407*$T$1),0)*1.05</f>
        <v>4627.3500000000004</v>
      </c>
      <c r="N620" s="49">
        <f>ROUND((4076*$T$1),0)*1.05</f>
        <v>4279.8</v>
      </c>
      <c r="O620" s="49">
        <f>ROUND((4117*$T$1),0)*1.05</f>
        <v>4322.8500000000004</v>
      </c>
      <c r="P620" s="49">
        <f>ROUND((4244*$T$1),0)*1.05</f>
        <v>4456.2</v>
      </c>
      <c r="Q620" s="49">
        <f>ROUND((4454*$T$1),0)*1.05</f>
        <v>4676.7</v>
      </c>
    </row>
    <row r="621" spans="1:17" ht="15" customHeight="1" x14ac:dyDescent="0.3">
      <c r="A621" s="42"/>
      <c r="B621" s="43" t="s">
        <v>406</v>
      </c>
      <c r="C621" s="44" t="s">
        <v>45</v>
      </c>
      <c r="D621" s="47">
        <v>1.1499999999999999</v>
      </c>
      <c r="E621" s="46" t="s">
        <v>47</v>
      </c>
      <c r="F621" s="47">
        <v>1.25</v>
      </c>
      <c r="G621" s="46" t="s">
        <v>48</v>
      </c>
      <c r="H621" s="57">
        <v>0.9</v>
      </c>
      <c r="I621" s="48">
        <v>8.6999999999999993</v>
      </c>
      <c r="J621" s="49">
        <f>ROUND((3313*$T$1),0)*1.05</f>
        <v>3478.65</v>
      </c>
      <c r="K621" s="49">
        <f>ROUND((3681*$T$1),0)*1.05</f>
        <v>3865.05</v>
      </c>
      <c r="L621" s="49">
        <f>ROUND((3739*$T$1),0)*1.05</f>
        <v>3925.9500000000003</v>
      </c>
      <c r="M621" s="49">
        <f>ROUND((3805*$T$1),0)*1.05</f>
        <v>3995.25</v>
      </c>
      <c r="N621" s="49">
        <f>ROUND((3872*$T$1),0)*1.05</f>
        <v>4065.6000000000004</v>
      </c>
      <c r="O621" s="49">
        <f>ROUND((3911*$T$1),0)*1.05</f>
        <v>4106.55</v>
      </c>
      <c r="P621" s="49">
        <f>ROUND((4032*$T$1),0)*1.05</f>
        <v>4233.6000000000004</v>
      </c>
      <c r="Q621" s="49">
        <f>ROUND((4231*$T$1),0)*1.05</f>
        <v>4442.55</v>
      </c>
    </row>
    <row r="622" spans="1:17" ht="15" customHeight="1" x14ac:dyDescent="0.3">
      <c r="A622" s="42"/>
      <c r="B622" s="44"/>
      <c r="C622" s="44"/>
      <c r="D622" s="47"/>
      <c r="E622" s="46"/>
      <c r="F622" s="47"/>
      <c r="G622" s="46"/>
      <c r="H622" s="57"/>
      <c r="I622" s="48"/>
      <c r="J622" s="49"/>
      <c r="K622" s="49"/>
      <c r="L622" s="49"/>
      <c r="M622" s="49"/>
      <c r="N622" s="49"/>
      <c r="O622" s="49"/>
      <c r="P622" s="49"/>
      <c r="Q622" s="49"/>
    </row>
    <row r="623" spans="1:17" ht="15" customHeight="1" x14ac:dyDescent="0.3">
      <c r="A623" s="42"/>
      <c r="B623" s="43" t="s">
        <v>339</v>
      </c>
      <c r="C623" s="44" t="s">
        <v>45</v>
      </c>
      <c r="D623" s="47">
        <v>1.2</v>
      </c>
      <c r="E623" s="46" t="s">
        <v>47</v>
      </c>
      <c r="F623" s="47">
        <v>1.25</v>
      </c>
      <c r="G623" s="46" t="s">
        <v>48</v>
      </c>
      <c r="H623" s="57">
        <v>0.9</v>
      </c>
      <c r="I623" s="48">
        <v>9</v>
      </c>
      <c r="J623" s="49">
        <f>ROUND((3585*$T$1),0)*1.05</f>
        <v>3764.25</v>
      </c>
      <c r="K623" s="49">
        <f>ROUND((3982*$T$1),0)*1.05</f>
        <v>4181.1000000000004</v>
      </c>
      <c r="L623" s="49">
        <f>ROUND((4039*$T$1),0)*1.05</f>
        <v>4240.95</v>
      </c>
      <c r="M623" s="49">
        <f>ROUND((4104*$T$1),0)*1.05</f>
        <v>4309.2</v>
      </c>
      <c r="N623" s="49">
        <f>ROUND((4171*$T$1),0)*1.05</f>
        <v>4379.55</v>
      </c>
      <c r="O623" s="49">
        <f>ROUND((4210*$T$1),0)*1.05</f>
        <v>4420.5</v>
      </c>
      <c r="P623" s="49">
        <f>ROUND((4329*$T$1),0)*1.05</f>
        <v>4545.45</v>
      </c>
      <c r="Q623" s="49">
        <f>ROUND((4525*$T$1),0)*1.05</f>
        <v>4751.25</v>
      </c>
    </row>
    <row r="624" spans="1:17" ht="15" customHeight="1" x14ac:dyDescent="0.3">
      <c r="A624" s="42"/>
      <c r="B624" s="43" t="s">
        <v>340</v>
      </c>
      <c r="C624" s="44" t="s">
        <v>45</v>
      </c>
      <c r="D624" s="47">
        <v>1.1000000000000001</v>
      </c>
      <c r="E624" s="46" t="s">
        <v>47</v>
      </c>
      <c r="F624" s="47">
        <v>1.25</v>
      </c>
      <c r="G624" s="46" t="s">
        <v>48</v>
      </c>
      <c r="H624" s="57">
        <v>0.9</v>
      </c>
      <c r="I624" s="48">
        <v>9.3000000000000007</v>
      </c>
      <c r="J624" s="49">
        <f>ROUND((3562*$T$1),0)*1.05</f>
        <v>3740.1000000000004</v>
      </c>
      <c r="K624" s="49">
        <f>ROUND((3957*$T$1),0)*1.05</f>
        <v>4154.8500000000004</v>
      </c>
      <c r="L624" s="49">
        <f>ROUND((4018*$T$1),0)*1.05</f>
        <v>4218.9000000000005</v>
      </c>
      <c r="M624" s="49">
        <f>ROUND((4091*$T$1),0)*1.05</f>
        <v>4295.55</v>
      </c>
      <c r="N624" s="49">
        <f>ROUND((4162*$T$1),0)*1.05</f>
        <v>4370.1000000000004</v>
      </c>
      <c r="O624" s="49">
        <f>ROUND((4204*$T$1),0)*1.05</f>
        <v>4414.2</v>
      </c>
      <c r="P624" s="49">
        <f>ROUND((4333*$T$1),0)*1.05</f>
        <v>4549.6500000000005</v>
      </c>
      <c r="Q624" s="49">
        <f>ROUND((4547*$T$1),0)*1.05</f>
        <v>4774.3500000000004</v>
      </c>
    </row>
    <row r="625" spans="1:17" ht="15" customHeight="1" x14ac:dyDescent="0.3">
      <c r="A625" s="42"/>
      <c r="B625" s="43" t="s">
        <v>341</v>
      </c>
      <c r="C625" s="44" t="s">
        <v>45</v>
      </c>
      <c r="D625" s="47">
        <v>1</v>
      </c>
      <c r="E625" s="46" t="s">
        <v>47</v>
      </c>
      <c r="F625" s="47">
        <v>1.25</v>
      </c>
      <c r="G625" s="46" t="s">
        <v>48</v>
      </c>
      <c r="H625" s="57">
        <v>0.9</v>
      </c>
      <c r="I625" s="48">
        <v>8.9</v>
      </c>
      <c r="J625" s="49">
        <f>ROUND((3383*$T$1),0)*1.05</f>
        <v>3552.15</v>
      </c>
      <c r="K625" s="49">
        <f>ROUND((3759*$T$1),0)*1.05</f>
        <v>3946.9500000000003</v>
      </c>
      <c r="L625" s="49">
        <f>ROUND((3818*$T$1),0)*1.05</f>
        <v>4008.9</v>
      </c>
      <c r="M625" s="49">
        <f>ROUND((3886*$T$1),0)*1.05</f>
        <v>4080.3</v>
      </c>
      <c r="N625" s="49">
        <f>ROUND((3954*$T$1),0)*1.05</f>
        <v>4151.7</v>
      </c>
      <c r="O625" s="49">
        <f>ROUND((3994*$T$1),0)*1.05</f>
        <v>4193.7</v>
      </c>
      <c r="P625" s="49">
        <f>ROUND((4063*$T$1),0)*1.05</f>
        <v>4266.1500000000005</v>
      </c>
      <c r="Q625" s="49">
        <f>ROUND((4319*$T$1),0)*1.05</f>
        <v>4534.95</v>
      </c>
    </row>
    <row r="626" spans="1:17" ht="15" customHeight="1" x14ac:dyDescent="0.3">
      <c r="A626" s="42"/>
      <c r="B626" s="43" t="s">
        <v>342</v>
      </c>
      <c r="C626" s="44" t="s">
        <v>45</v>
      </c>
      <c r="D626" s="47">
        <v>0.9</v>
      </c>
      <c r="E626" s="46" t="s">
        <v>47</v>
      </c>
      <c r="F626" s="47">
        <v>1.25</v>
      </c>
      <c r="G626" s="46" t="s">
        <v>48</v>
      </c>
      <c r="H626" s="57">
        <v>0.9</v>
      </c>
      <c r="I626" s="48">
        <v>8.5</v>
      </c>
      <c r="J626" s="49">
        <f>ROUND((3214*$T$1),0)*1.05</f>
        <v>3374.7000000000003</v>
      </c>
      <c r="K626" s="49">
        <f>ROUND((3571*$T$1),0)*1.05</f>
        <v>3749.55</v>
      </c>
      <c r="L626" s="49">
        <f>ROUND((3627*$T$1),0)*1.05</f>
        <v>3808.3500000000004</v>
      </c>
      <c r="M626" s="49">
        <f>ROUND((3692*$T$1),0)*1.05</f>
        <v>3876.6000000000004</v>
      </c>
      <c r="N626" s="49">
        <f>ROUND((3756*$T$1),0)*1.05</f>
        <v>3943.8</v>
      </c>
      <c r="O626" s="49">
        <f>ROUND((3794*$T$1),0)*1.05</f>
        <v>3983.7000000000003</v>
      </c>
      <c r="P626" s="49">
        <f>ROUND((3911*$T$1),0)*1.05</f>
        <v>4106.55</v>
      </c>
      <c r="Q626" s="49">
        <f>ROUND((4104*$T$1),0)*1.05</f>
        <v>4309.2</v>
      </c>
    </row>
    <row r="627" spans="1:17" ht="15" customHeight="1" x14ac:dyDescent="0.3">
      <c r="A627" s="42"/>
      <c r="B627" s="44"/>
      <c r="C627" s="44"/>
      <c r="D627" s="47"/>
      <c r="E627" s="46"/>
      <c r="F627" s="47"/>
      <c r="G627" s="46"/>
      <c r="H627" s="57"/>
      <c r="I627" s="48"/>
      <c r="J627" s="49"/>
      <c r="K627" s="49"/>
      <c r="L627" s="49"/>
      <c r="M627" s="49"/>
      <c r="N627" s="49"/>
      <c r="O627" s="49"/>
      <c r="P627" s="49"/>
      <c r="Q627" s="49"/>
    </row>
    <row r="628" spans="1:17" ht="15" customHeight="1" x14ac:dyDescent="0.3">
      <c r="A628" s="42"/>
      <c r="B628" s="51" t="s">
        <v>184</v>
      </c>
      <c r="C628" s="44"/>
      <c r="D628" s="47"/>
      <c r="E628" s="46"/>
      <c r="F628" s="47"/>
      <c r="G628" s="46"/>
      <c r="H628" s="57"/>
      <c r="I628" s="48"/>
      <c r="J628" s="49"/>
      <c r="K628" s="49">
        <f>ROUND((1734*$T$1),0)*1.05</f>
        <v>1820.7</v>
      </c>
      <c r="L628" s="49"/>
      <c r="M628" s="49"/>
      <c r="N628" s="49"/>
      <c r="O628" s="49"/>
      <c r="P628" s="49"/>
      <c r="Q628" s="49"/>
    </row>
    <row r="629" spans="1:17" ht="15" customHeight="1" x14ac:dyDescent="0.3">
      <c r="A629" s="42"/>
      <c r="B629" s="51" t="s">
        <v>185</v>
      </c>
      <c r="C629" s="44"/>
      <c r="D629" s="47"/>
      <c r="E629" s="46"/>
      <c r="F629" s="47"/>
      <c r="G629" s="46"/>
      <c r="H629" s="57"/>
      <c r="I629" s="48"/>
      <c r="J629" s="49"/>
      <c r="K629" s="49">
        <f>ROUND((2765*$T$1),0)*1.05</f>
        <v>2903.25</v>
      </c>
      <c r="L629" s="49"/>
      <c r="M629" s="49"/>
      <c r="N629" s="49"/>
      <c r="O629" s="49"/>
      <c r="P629" s="49"/>
      <c r="Q629" s="49"/>
    </row>
    <row r="630" spans="1:17" ht="15" customHeight="1" x14ac:dyDescent="0.3">
      <c r="A630" s="42"/>
      <c r="B630" s="51" t="s">
        <v>186</v>
      </c>
      <c r="C630" s="44"/>
      <c r="D630" s="47"/>
      <c r="E630" s="46"/>
      <c r="F630" s="47"/>
      <c r="G630" s="46"/>
      <c r="H630" s="57"/>
      <c r="I630" s="48"/>
      <c r="J630" s="49"/>
      <c r="K630" s="49">
        <f>ROUND((3795*$T$1),0)*1.05</f>
        <v>3984.75</v>
      </c>
      <c r="L630" s="49"/>
      <c r="M630" s="49"/>
      <c r="N630" s="49"/>
      <c r="O630" s="49"/>
      <c r="P630" s="49"/>
      <c r="Q630" s="49"/>
    </row>
    <row r="631" spans="1:17" ht="15" customHeight="1" x14ac:dyDescent="0.3">
      <c r="A631" s="42"/>
      <c r="B631" s="43"/>
      <c r="C631" s="44"/>
      <c r="D631" s="47"/>
      <c r="E631" s="46"/>
      <c r="F631" s="47"/>
      <c r="G631" s="46"/>
      <c r="H631" s="57"/>
      <c r="I631" s="48"/>
      <c r="J631" s="49"/>
      <c r="K631" s="49"/>
      <c r="L631" s="49"/>
      <c r="M631" s="49"/>
      <c r="N631" s="49"/>
      <c r="O631" s="49"/>
      <c r="P631" s="49"/>
      <c r="Q631" s="49"/>
    </row>
    <row r="632" spans="1:17" ht="15" customHeight="1" x14ac:dyDescent="0.3">
      <c r="A632" s="42"/>
      <c r="B632" s="51" t="s">
        <v>188</v>
      </c>
      <c r="C632" s="44"/>
      <c r="D632" s="47"/>
      <c r="E632" s="46"/>
      <c r="F632" s="47"/>
      <c r="G632" s="46"/>
      <c r="H632" s="57"/>
      <c r="I632" s="48"/>
      <c r="J632" s="49"/>
      <c r="K632" s="49">
        <f>ROUND((132*$T$1),0)*1.05</f>
        <v>138.6</v>
      </c>
      <c r="L632" s="49"/>
      <c r="M632" s="49"/>
      <c r="N632" s="49"/>
      <c r="O632" s="49"/>
      <c r="P632" s="49"/>
      <c r="Q632" s="49"/>
    </row>
    <row r="633" spans="1:17" ht="15" customHeight="1" x14ac:dyDescent="0.3">
      <c r="A633" s="42"/>
      <c r="B633" s="51" t="s">
        <v>189</v>
      </c>
      <c r="C633" s="51"/>
      <c r="D633" s="54"/>
      <c r="E633" s="53"/>
      <c r="F633" s="54"/>
      <c r="G633" s="53"/>
      <c r="H633" s="90"/>
      <c r="I633" s="55"/>
      <c r="J633" s="56"/>
      <c r="K633" s="56">
        <f>ROUND((132*$T$1),0)*1.05</f>
        <v>138.6</v>
      </c>
      <c r="L633" s="56"/>
      <c r="M633" s="56"/>
      <c r="N633" s="56"/>
      <c r="O633" s="56"/>
      <c r="P633" s="56"/>
      <c r="Q633" s="56"/>
    </row>
    <row r="634" spans="1:17" ht="15" customHeight="1" x14ac:dyDescent="0.3">
      <c r="A634" s="42"/>
      <c r="B634" s="123" t="s">
        <v>187</v>
      </c>
      <c r="C634" s="44"/>
      <c r="D634" s="47"/>
      <c r="E634" s="46"/>
      <c r="F634" s="47"/>
      <c r="G634" s="46"/>
      <c r="H634" s="57"/>
      <c r="I634" s="48"/>
      <c r="J634" s="49"/>
      <c r="K634" s="49">
        <f>ROUND((220*$T$1),0)*1.05</f>
        <v>231</v>
      </c>
      <c r="L634" s="49"/>
      <c r="M634" s="49"/>
      <c r="N634" s="49"/>
      <c r="O634" s="49"/>
      <c r="P634" s="49"/>
      <c r="Q634" s="49"/>
    </row>
    <row r="635" spans="1:17" ht="15" customHeight="1" x14ac:dyDescent="0.3">
      <c r="A635" s="42"/>
      <c r="B635" s="43"/>
      <c r="C635" s="44"/>
      <c r="D635" s="47"/>
      <c r="E635" s="46"/>
      <c r="F635" s="47"/>
      <c r="G635" s="46"/>
      <c r="H635" s="57"/>
      <c r="I635" s="48"/>
      <c r="J635" s="49"/>
      <c r="K635" s="49"/>
      <c r="L635" s="49"/>
      <c r="M635" s="49"/>
      <c r="N635" s="49"/>
      <c r="O635" s="49"/>
      <c r="P635" s="49"/>
      <c r="Q635" s="49"/>
    </row>
    <row r="636" spans="1:17" ht="15" customHeight="1" x14ac:dyDescent="0.3">
      <c r="A636" s="42"/>
      <c r="B636" s="118" t="s">
        <v>190</v>
      </c>
      <c r="C636" s="44"/>
      <c r="D636" s="47"/>
      <c r="E636" s="46"/>
      <c r="F636" s="47"/>
      <c r="G636" s="46"/>
      <c r="H636" s="57"/>
      <c r="I636" s="48"/>
      <c r="J636" s="49"/>
      <c r="K636" s="49"/>
      <c r="L636" s="49"/>
      <c r="M636" s="49"/>
      <c r="N636" s="49"/>
      <c r="O636" s="49"/>
      <c r="P636" s="49"/>
      <c r="Q636" s="49"/>
    </row>
    <row r="637" spans="1:17" ht="15" customHeight="1" x14ac:dyDescent="0.3">
      <c r="A637" s="42"/>
      <c r="B637" s="44"/>
      <c r="C637" s="44"/>
      <c r="D637" s="47"/>
      <c r="E637" s="46"/>
      <c r="F637" s="47"/>
      <c r="G637" s="46"/>
      <c r="H637" s="57"/>
      <c r="I637" s="48"/>
      <c r="J637" s="49"/>
      <c r="K637" s="49"/>
      <c r="L637" s="49"/>
      <c r="M637" s="49"/>
      <c r="N637" s="49"/>
      <c r="O637" s="49"/>
      <c r="P637" s="49"/>
      <c r="Q637" s="49"/>
    </row>
    <row r="638" spans="1:17" ht="15" customHeight="1" x14ac:dyDescent="0.3">
      <c r="A638" s="42"/>
      <c r="B638" s="43" t="s">
        <v>407</v>
      </c>
      <c r="C638" s="44" t="s">
        <v>45</v>
      </c>
      <c r="D638" s="47">
        <v>1.45</v>
      </c>
      <c r="E638" s="46" t="s">
        <v>47</v>
      </c>
      <c r="F638" s="47">
        <v>1.25</v>
      </c>
      <c r="G638" s="46" t="s">
        <v>48</v>
      </c>
      <c r="H638" s="57">
        <v>0.9</v>
      </c>
      <c r="I638" s="48">
        <v>10</v>
      </c>
      <c r="J638" s="49">
        <f>ROUND((3865*$T$1),0)*1.05</f>
        <v>4058.25</v>
      </c>
      <c r="K638" s="49">
        <f>ROUND((4294*$T$1),0)*1.05</f>
        <v>4508.7</v>
      </c>
      <c r="L638" s="49">
        <f>ROUND((4361*$T$1),0)*1.05</f>
        <v>4579.05</v>
      </c>
      <c r="M638" s="49">
        <f>ROUND((4439*$T$1),0)*1.05</f>
        <v>4660.95</v>
      </c>
      <c r="N638" s="49">
        <f>ROUND((4516*$T$1),0)*1.05</f>
        <v>4741.8</v>
      </c>
      <c r="O638" s="49">
        <f>ROUND((4562*$T$1),0)*1.05</f>
        <v>4790.1000000000004</v>
      </c>
      <c r="P638" s="49">
        <f>ROUND((4702*$T$1),0)*1.05</f>
        <v>4937.1000000000004</v>
      </c>
      <c r="Q638" s="49">
        <f>ROUND((4935*$T$1),0)*1.05</f>
        <v>5181.75</v>
      </c>
    </row>
    <row r="639" spans="1:17" ht="15" customHeight="1" x14ac:dyDescent="0.3">
      <c r="A639" s="42"/>
      <c r="B639" s="43" t="s">
        <v>408</v>
      </c>
      <c r="C639" s="44" t="s">
        <v>45</v>
      </c>
      <c r="D639" s="47">
        <v>1.35</v>
      </c>
      <c r="E639" s="46" t="s">
        <v>47</v>
      </c>
      <c r="F639" s="47">
        <v>1.25</v>
      </c>
      <c r="G639" s="46" t="s">
        <v>48</v>
      </c>
      <c r="H639" s="57">
        <v>0.9</v>
      </c>
      <c r="I639" s="48">
        <v>9.5</v>
      </c>
      <c r="J639" s="49">
        <f>ROUND((3672*$T$1),0)*1.05</f>
        <v>3855.6000000000004</v>
      </c>
      <c r="K639" s="49">
        <f>ROUND((4079*$T$1),0)*1.05</f>
        <v>4282.95</v>
      </c>
      <c r="L639" s="49">
        <f>ROUND((4142*$T$1),0)*1.05</f>
        <v>4349.1000000000004</v>
      </c>
      <c r="M639" s="49">
        <f>ROUND((4217*$T$1),0)*1.05</f>
        <v>4427.8500000000004</v>
      </c>
      <c r="N639" s="49">
        <f>ROUND((4291*$T$1),0)*1.05</f>
        <v>4505.55</v>
      </c>
      <c r="O639" s="49">
        <f>ROUND((4334*$T$1),0)*1.05</f>
        <v>4550.7</v>
      </c>
      <c r="P639" s="49">
        <f>ROUND((4468*$T$1),0)*1.05</f>
        <v>4691.4000000000005</v>
      </c>
      <c r="Q639" s="49">
        <f>ROUND((4687*$T$1),0)*1.05</f>
        <v>4921.3500000000004</v>
      </c>
    </row>
    <row r="640" spans="1:17" ht="15" customHeight="1" x14ac:dyDescent="0.3">
      <c r="A640" s="42"/>
      <c r="B640" s="43" t="s">
        <v>409</v>
      </c>
      <c r="C640" s="44" t="s">
        <v>45</v>
      </c>
      <c r="D640" s="47">
        <v>1.25</v>
      </c>
      <c r="E640" s="46" t="s">
        <v>47</v>
      </c>
      <c r="F640" s="47">
        <v>1.25</v>
      </c>
      <c r="G640" s="46" t="s">
        <v>48</v>
      </c>
      <c r="H640" s="57">
        <v>0.9</v>
      </c>
      <c r="I640" s="48">
        <v>9.1</v>
      </c>
      <c r="J640" s="49">
        <f>ROUND((3488*$T$1),0)*1.05</f>
        <v>3662.4</v>
      </c>
      <c r="K640" s="49">
        <f>ROUND((3876*$T$1),0)*1.05</f>
        <v>4069.8</v>
      </c>
      <c r="L640" s="49">
        <f>ROUND((3935*$T$1),0)*1.05</f>
        <v>4131.75</v>
      </c>
      <c r="M640" s="49">
        <f>ROUND((4407*$T$1),0)*1.05</f>
        <v>4627.3500000000004</v>
      </c>
      <c r="N640" s="49">
        <f>ROUND((4076*$T$1),0)*1.05</f>
        <v>4279.8</v>
      </c>
      <c r="O640" s="49">
        <f>ROUND((4117*$T$1),0)*1.05</f>
        <v>4322.8500000000004</v>
      </c>
      <c r="P640" s="49">
        <f>ROUND((4244*$T$1),0)*1.05</f>
        <v>4456.2</v>
      </c>
      <c r="Q640" s="49">
        <f>ROUND((4454*$T$1),0)*1.05</f>
        <v>4676.7</v>
      </c>
    </row>
    <row r="641" spans="1:17" ht="15" customHeight="1" x14ac:dyDescent="0.3">
      <c r="A641" s="42"/>
      <c r="B641" s="43" t="s">
        <v>410</v>
      </c>
      <c r="C641" s="44" t="s">
        <v>45</v>
      </c>
      <c r="D641" s="47">
        <v>1.1499999999999999</v>
      </c>
      <c r="E641" s="46" t="s">
        <v>47</v>
      </c>
      <c r="F641" s="47">
        <v>1.25</v>
      </c>
      <c r="G641" s="46" t="s">
        <v>48</v>
      </c>
      <c r="H641" s="57">
        <v>0.9</v>
      </c>
      <c r="I641" s="48">
        <v>8.6999999999999993</v>
      </c>
      <c r="J641" s="49">
        <f>ROUND((3313*$T$1),0)*1.05</f>
        <v>3478.65</v>
      </c>
      <c r="K641" s="49">
        <f>ROUND((3681*$T$1),0)*1.05</f>
        <v>3865.05</v>
      </c>
      <c r="L641" s="49">
        <f>ROUND((3739*$T$1),0)*1.05</f>
        <v>3925.9500000000003</v>
      </c>
      <c r="M641" s="49">
        <f>ROUND((3805*$T$1),0)*1.05</f>
        <v>3995.25</v>
      </c>
      <c r="N641" s="49">
        <f>ROUND((3872*$T$1),0)*1.05</f>
        <v>4065.6000000000004</v>
      </c>
      <c r="O641" s="49">
        <f>ROUND((3911*$T$1),0)*1.05</f>
        <v>4106.55</v>
      </c>
      <c r="P641" s="49">
        <f>ROUND((4032*$T$1),0)*1.05</f>
        <v>4233.6000000000004</v>
      </c>
      <c r="Q641" s="49">
        <f>ROUND((4231*$T$1),0)*1.05</f>
        <v>4442.55</v>
      </c>
    </row>
    <row r="642" spans="1:17" ht="15" customHeight="1" x14ac:dyDescent="0.3">
      <c r="A642" s="42"/>
      <c r="B642" s="44"/>
      <c r="C642" s="44"/>
      <c r="D642" s="47"/>
      <c r="E642" s="46"/>
      <c r="F642" s="47"/>
      <c r="G642" s="46"/>
      <c r="H642" s="57"/>
      <c r="I642" s="48"/>
      <c r="J642" s="49"/>
      <c r="K642" s="49"/>
      <c r="L642" s="49"/>
      <c r="M642" s="49"/>
      <c r="N642" s="49"/>
      <c r="O642" s="49"/>
      <c r="P642" s="49"/>
      <c r="Q642" s="49"/>
    </row>
    <row r="643" spans="1:17" ht="15" customHeight="1" x14ac:dyDescent="0.3">
      <c r="A643" s="42"/>
      <c r="B643" s="43" t="s">
        <v>346</v>
      </c>
      <c r="C643" s="44" t="s">
        <v>45</v>
      </c>
      <c r="D643" s="47">
        <v>1.2</v>
      </c>
      <c r="E643" s="46" t="s">
        <v>47</v>
      </c>
      <c r="F643" s="47">
        <v>1.25</v>
      </c>
      <c r="G643" s="46" t="s">
        <v>48</v>
      </c>
      <c r="H643" s="57">
        <v>0.9</v>
      </c>
      <c r="I643" s="48">
        <v>9</v>
      </c>
      <c r="J643" s="49">
        <f>ROUND((3585*$T$1),0)*1.05</f>
        <v>3764.25</v>
      </c>
      <c r="K643" s="49">
        <f>ROUND((3982*$T$1),0)*1.05</f>
        <v>4181.1000000000004</v>
      </c>
      <c r="L643" s="49">
        <f>ROUND((4039*$T$1),0)*1.05</f>
        <v>4240.95</v>
      </c>
      <c r="M643" s="49">
        <f>ROUND((4104*$T$1),0)*1.05</f>
        <v>4309.2</v>
      </c>
      <c r="N643" s="49">
        <f>ROUND((4171*$T$1),0)*1.05</f>
        <v>4379.55</v>
      </c>
      <c r="O643" s="49">
        <f>ROUND((4210*$T$1),0)*1.05</f>
        <v>4420.5</v>
      </c>
      <c r="P643" s="49">
        <f>ROUND((4329*$T$1),0)*1.05</f>
        <v>4545.45</v>
      </c>
      <c r="Q643" s="49">
        <f>ROUND((4525*$T$1),0)*1.05</f>
        <v>4751.25</v>
      </c>
    </row>
    <row r="644" spans="1:17" ht="15" customHeight="1" x14ac:dyDescent="0.3">
      <c r="A644" s="42"/>
      <c r="B644" s="43" t="s">
        <v>347</v>
      </c>
      <c r="C644" s="44" t="s">
        <v>45</v>
      </c>
      <c r="D644" s="47">
        <v>1.1000000000000001</v>
      </c>
      <c r="E644" s="46" t="s">
        <v>47</v>
      </c>
      <c r="F644" s="47">
        <v>1.25</v>
      </c>
      <c r="G644" s="46" t="s">
        <v>48</v>
      </c>
      <c r="H644" s="57">
        <v>0.9</v>
      </c>
      <c r="I644" s="48">
        <v>9.3000000000000007</v>
      </c>
      <c r="J644" s="49">
        <f>ROUND((3562*$T$1),0)*1.05</f>
        <v>3740.1000000000004</v>
      </c>
      <c r="K644" s="49">
        <f>ROUND((3957*$T$1),0)*1.05</f>
        <v>4154.8500000000004</v>
      </c>
      <c r="L644" s="49">
        <f>ROUND((4018*$T$1),0)*1.05</f>
        <v>4218.9000000000005</v>
      </c>
      <c r="M644" s="49">
        <f>ROUND((4091*$T$1),0)*1.05</f>
        <v>4295.55</v>
      </c>
      <c r="N644" s="49">
        <f>ROUND((4162*$T$1),0)*1.05</f>
        <v>4370.1000000000004</v>
      </c>
      <c r="O644" s="49">
        <f>ROUND((4204*$T$1),0)*1.05</f>
        <v>4414.2</v>
      </c>
      <c r="P644" s="49">
        <f>ROUND((4333*$T$1),0)*1.05</f>
        <v>4549.6500000000005</v>
      </c>
      <c r="Q644" s="49">
        <f>ROUND((4547*$T$1),0)*1.05</f>
        <v>4774.3500000000004</v>
      </c>
    </row>
    <row r="645" spans="1:17" ht="15" customHeight="1" x14ac:dyDescent="0.3">
      <c r="A645" s="42"/>
      <c r="B645" s="43" t="s">
        <v>348</v>
      </c>
      <c r="C645" s="44" t="s">
        <v>45</v>
      </c>
      <c r="D645" s="47">
        <v>1</v>
      </c>
      <c r="E645" s="46" t="s">
        <v>47</v>
      </c>
      <c r="F645" s="47">
        <v>1.25</v>
      </c>
      <c r="G645" s="46" t="s">
        <v>48</v>
      </c>
      <c r="H645" s="57">
        <v>0.9</v>
      </c>
      <c r="I645" s="48">
        <v>8.9</v>
      </c>
      <c r="J645" s="49">
        <f>ROUND((3383*$T$1),0)*1.05</f>
        <v>3552.15</v>
      </c>
      <c r="K645" s="49">
        <f>ROUND((3759*$T$1),0)*1.05</f>
        <v>3946.9500000000003</v>
      </c>
      <c r="L645" s="49">
        <f>ROUND((3818*$T$1),0)*1.05</f>
        <v>4008.9</v>
      </c>
      <c r="M645" s="49">
        <f>ROUND((3886*$T$1),0)*1.05</f>
        <v>4080.3</v>
      </c>
      <c r="N645" s="49">
        <f>ROUND((3954*$T$1),0)*1.05</f>
        <v>4151.7</v>
      </c>
      <c r="O645" s="49">
        <f>ROUND((3994*$T$1),0)*1.05</f>
        <v>4193.7</v>
      </c>
      <c r="P645" s="49">
        <f>ROUND((4063*$T$1),0)*1.05</f>
        <v>4266.1500000000005</v>
      </c>
      <c r="Q645" s="49">
        <f>ROUND((4319*$T$1),0)*1.05</f>
        <v>4534.95</v>
      </c>
    </row>
    <row r="646" spans="1:17" ht="15" customHeight="1" x14ac:dyDescent="0.3">
      <c r="A646" s="42"/>
      <c r="B646" s="43" t="s">
        <v>349</v>
      </c>
      <c r="C646" s="44" t="s">
        <v>45</v>
      </c>
      <c r="D646" s="47">
        <v>0.9</v>
      </c>
      <c r="E646" s="46" t="s">
        <v>47</v>
      </c>
      <c r="F646" s="47">
        <v>1.25</v>
      </c>
      <c r="G646" s="46" t="s">
        <v>48</v>
      </c>
      <c r="H646" s="57">
        <v>0.9</v>
      </c>
      <c r="I646" s="48">
        <v>8.5</v>
      </c>
      <c r="J646" s="49">
        <f>ROUND((3214*$T$1),0)*1.05</f>
        <v>3374.7000000000003</v>
      </c>
      <c r="K646" s="49">
        <f>ROUND((3571*$T$1),0)*1.05</f>
        <v>3749.55</v>
      </c>
      <c r="L646" s="49">
        <f>ROUND((3627*$T$1),0)*1.05</f>
        <v>3808.3500000000004</v>
      </c>
      <c r="M646" s="49">
        <f>ROUND((3692*$T$1),0)*1.05</f>
        <v>3876.6000000000004</v>
      </c>
      <c r="N646" s="49">
        <f>ROUND((3756*$T$1),0)*1.05</f>
        <v>3943.8</v>
      </c>
      <c r="O646" s="49">
        <f>ROUND((3794*$T$1),0)*1.05</f>
        <v>3983.7000000000003</v>
      </c>
      <c r="P646" s="49">
        <f>ROUND((3911*$T$1),0)*1.05</f>
        <v>4106.55</v>
      </c>
      <c r="Q646" s="49">
        <f>ROUND((4104*$T$1),0)*1.05</f>
        <v>4309.2</v>
      </c>
    </row>
    <row r="647" spans="1:17" ht="15" customHeight="1" x14ac:dyDescent="0.3">
      <c r="A647" s="42"/>
      <c r="B647" s="44"/>
      <c r="C647" s="44"/>
      <c r="D647" s="47"/>
      <c r="E647" s="46"/>
      <c r="F647" s="47"/>
      <c r="G647" s="46"/>
      <c r="H647" s="57"/>
      <c r="I647" s="48"/>
      <c r="J647" s="49"/>
      <c r="K647" s="49"/>
      <c r="L647" s="49"/>
      <c r="M647" s="49"/>
      <c r="N647" s="49"/>
      <c r="O647" s="49"/>
      <c r="P647" s="49"/>
      <c r="Q647" s="49"/>
    </row>
    <row r="648" spans="1:17" ht="15" customHeight="1" x14ac:dyDescent="0.3">
      <c r="A648" s="42"/>
      <c r="B648" s="43" t="s">
        <v>98</v>
      </c>
      <c r="C648" s="44" t="s">
        <v>45</v>
      </c>
      <c r="D648" s="47">
        <v>1.25</v>
      </c>
      <c r="E648" s="46" t="s">
        <v>47</v>
      </c>
      <c r="F648" s="47">
        <v>1.25</v>
      </c>
      <c r="G648" s="46" t="s">
        <v>48</v>
      </c>
      <c r="H648" s="57">
        <v>0.43</v>
      </c>
      <c r="I648" s="55">
        <v>4.5</v>
      </c>
      <c r="J648" s="56">
        <f>ROUND((1792*$T$1),0)*1.05</f>
        <v>1881.6000000000001</v>
      </c>
      <c r="K648" s="56">
        <f>ROUND((1992*$T$1),0)*1.05</f>
        <v>2091.6</v>
      </c>
      <c r="L648" s="56">
        <f>ROUND((2019*$T$1),0)*1.05</f>
        <v>2119.9500000000003</v>
      </c>
      <c r="M648" s="56">
        <f>ROUND((2053*$T$1),0)*1.05</f>
        <v>2155.65</v>
      </c>
      <c r="N648" s="56">
        <f>ROUND((2086*$T$1),0)*1.05</f>
        <v>2190.3000000000002</v>
      </c>
      <c r="O648" s="56">
        <f>ROUND((2106*$T$1),0)*1.05</f>
        <v>2211.3000000000002</v>
      </c>
      <c r="P648" s="56">
        <f>ROUND((2164*$T$1),0)*1.05</f>
        <v>2272.2000000000003</v>
      </c>
      <c r="Q648" s="56">
        <f>ROUND((2663*$T$1),0)*1.05</f>
        <v>2796.15</v>
      </c>
    </row>
    <row r="649" spans="1:17" ht="15" customHeight="1" x14ac:dyDescent="0.3">
      <c r="A649" s="42"/>
      <c r="B649" s="43" t="s">
        <v>398</v>
      </c>
      <c r="C649" s="44" t="s">
        <v>45</v>
      </c>
      <c r="D649" s="47">
        <v>1.28</v>
      </c>
      <c r="E649" s="46" t="s">
        <v>47</v>
      </c>
      <c r="F649" s="47">
        <v>1.28</v>
      </c>
      <c r="G649" s="46" t="s">
        <v>48</v>
      </c>
      <c r="H649" s="57">
        <v>0.9</v>
      </c>
      <c r="I649" s="55">
        <v>8.6</v>
      </c>
      <c r="J649" s="56">
        <f>ROUND((3405*$T$1),0)*1.05</f>
        <v>3575.25</v>
      </c>
      <c r="K649" s="56">
        <f>ROUND((3784*$T$1),0)*1.05</f>
        <v>3973.2000000000003</v>
      </c>
      <c r="L649" s="56">
        <f>ROUND((3836*$T$1),0)*1.05</f>
        <v>4027.8</v>
      </c>
      <c r="M649" s="56">
        <f>ROUND((3900*$T$1),0)*1.05</f>
        <v>4095</v>
      </c>
      <c r="N649" s="56">
        <f>ROUND((3963*$T$1),0)*1.05</f>
        <v>4161.1500000000005</v>
      </c>
      <c r="O649" s="56">
        <f>ROUND((4000*$T$1),0)*1.05</f>
        <v>4200</v>
      </c>
      <c r="P649" s="56">
        <f>ROUND((4112*$T$1),0)*1.05</f>
        <v>4317.6000000000004</v>
      </c>
      <c r="Q649" s="56">
        <f>ROUND((4299*$T$1),0)*1.05</f>
        <v>4513.95</v>
      </c>
    </row>
    <row r="650" spans="1:17" ht="15" customHeight="1" x14ac:dyDescent="0.3">
      <c r="A650" s="42"/>
      <c r="B650" s="43" t="s">
        <v>411</v>
      </c>
      <c r="C650" s="44" t="s">
        <v>45</v>
      </c>
      <c r="D650" s="47">
        <v>1.25</v>
      </c>
      <c r="E650" s="46" t="s">
        <v>47</v>
      </c>
      <c r="F650" s="47">
        <v>1.67</v>
      </c>
      <c r="G650" s="46" t="s">
        <v>48</v>
      </c>
      <c r="H650" s="57">
        <v>0.9</v>
      </c>
      <c r="I650" s="55">
        <v>10.1</v>
      </c>
      <c r="J650" s="56">
        <f>ROUND((3836*$T$1),0)*1.05</f>
        <v>4027.8</v>
      </c>
      <c r="K650" s="56">
        <f>ROUND((4263*$T$1),0)*1.05</f>
        <v>4476.1500000000005</v>
      </c>
      <c r="L650" s="56">
        <f>ROUND((4330*$T$1),0)*1.05</f>
        <v>4546.5</v>
      </c>
      <c r="M650" s="56">
        <f>ROUND((4407*$T$1),0)*1.05</f>
        <v>4627.3500000000004</v>
      </c>
      <c r="N650" s="56">
        <f>ROUND((4484*$T$1),0)*1.05</f>
        <v>4708.2</v>
      </c>
      <c r="O650" s="56">
        <f>ROUND((4529*$T$1),0)*1.05</f>
        <v>4755.45</v>
      </c>
      <c r="P650" s="56">
        <f>ROUND((4668*$T$1),0)*1.05</f>
        <v>4901.4000000000005</v>
      </c>
      <c r="Q650" s="56">
        <f>ROUND((4899*$T$1),0)*1.05</f>
        <v>5143.95</v>
      </c>
    </row>
    <row r="651" spans="1:17" ht="15" customHeight="1" x14ac:dyDescent="0.3">
      <c r="A651" s="42"/>
      <c r="B651" s="43" t="s">
        <v>412</v>
      </c>
      <c r="C651" s="44" t="s">
        <v>45</v>
      </c>
      <c r="D651" s="47">
        <v>1.67</v>
      </c>
      <c r="E651" s="46" t="s">
        <v>47</v>
      </c>
      <c r="F651" s="47">
        <v>1.25</v>
      </c>
      <c r="G651" s="46" t="s">
        <v>48</v>
      </c>
      <c r="H651" s="57">
        <v>0.9</v>
      </c>
      <c r="I651" s="48">
        <v>10.1</v>
      </c>
      <c r="J651" s="56">
        <f>ROUND((3836*$T$1),0)*1.05</f>
        <v>4027.8</v>
      </c>
      <c r="K651" s="56">
        <f>ROUND((4263*$T$1),0)*1.05</f>
        <v>4476.1500000000005</v>
      </c>
      <c r="L651" s="56">
        <f>ROUND((4330*$T$1),0)*1.05</f>
        <v>4546.5</v>
      </c>
      <c r="M651" s="49">
        <f>M650</f>
        <v>4627.3500000000004</v>
      </c>
      <c r="N651" s="56">
        <f>ROUND((4484*$T$1),0)*1.05</f>
        <v>4708.2</v>
      </c>
      <c r="O651" s="56">
        <f>ROUND((4529*$T$1),0)*1.05</f>
        <v>4755.45</v>
      </c>
      <c r="P651" s="49">
        <f>ROUND((4668*$T$1),0)*1.05</f>
        <v>4901.4000000000005</v>
      </c>
      <c r="Q651" s="56">
        <f>ROUND((4899*$T$1),0)*1.05</f>
        <v>5143.95</v>
      </c>
    </row>
    <row r="652" spans="1:17" ht="15" customHeight="1" x14ac:dyDescent="0.3">
      <c r="A652" s="42"/>
      <c r="B652" s="43"/>
      <c r="C652" s="44"/>
      <c r="D652" s="45"/>
      <c r="E652" s="46"/>
      <c r="F652" s="47"/>
      <c r="G652" s="46"/>
      <c r="H652" s="47"/>
      <c r="I652" s="102"/>
      <c r="J652" s="87"/>
      <c r="K652" s="87"/>
      <c r="L652" s="87"/>
      <c r="M652" s="87" t="s">
        <v>134</v>
      </c>
      <c r="N652" s="87"/>
      <c r="O652" s="87"/>
      <c r="P652" s="87"/>
      <c r="Q652" s="87"/>
    </row>
    <row r="653" spans="1:17" ht="15" customHeight="1" x14ac:dyDescent="0.3">
      <c r="A653" s="42"/>
      <c r="B653" s="59" t="s">
        <v>413</v>
      </c>
      <c r="C653" s="59" t="s">
        <v>414</v>
      </c>
      <c r="D653" s="59"/>
      <c r="E653" s="59"/>
      <c r="F653" s="59"/>
      <c r="G653" s="59"/>
      <c r="H653" s="59"/>
      <c r="I653" s="61"/>
      <c r="J653" s="62"/>
      <c r="K653" s="62"/>
      <c r="L653" s="62"/>
      <c r="M653" s="62"/>
      <c r="N653" s="62"/>
      <c r="O653" s="62"/>
      <c r="P653" s="62"/>
      <c r="Q653" s="62"/>
    </row>
    <row r="654" spans="1:17" ht="15" customHeight="1" x14ac:dyDescent="0.3">
      <c r="A654" s="42"/>
      <c r="B654" s="63"/>
      <c r="C654" s="64"/>
      <c r="D654" s="65"/>
      <c r="E654" s="49"/>
      <c r="F654" s="66"/>
      <c r="G654" s="48"/>
      <c r="H654" s="66"/>
      <c r="I654" s="48"/>
      <c r="J654" s="49"/>
      <c r="K654" s="49"/>
      <c r="L654" s="49"/>
      <c r="M654" s="49"/>
      <c r="N654" s="49"/>
      <c r="O654" s="49"/>
      <c r="P654" s="49"/>
      <c r="Q654" s="49"/>
    </row>
    <row r="655" spans="1:17" ht="29.1" customHeight="1" x14ac:dyDescent="0.25">
      <c r="A655" s="89" t="s">
        <v>415</v>
      </c>
      <c r="B655" s="77"/>
      <c r="C655" s="187" t="s">
        <v>41</v>
      </c>
      <c r="D655" s="187"/>
      <c r="E655" s="187"/>
      <c r="F655" s="187"/>
      <c r="G655" s="187"/>
      <c r="H655" s="187"/>
      <c r="I655" s="78" t="s">
        <v>42</v>
      </c>
      <c r="J655" s="41" t="s">
        <v>43</v>
      </c>
      <c r="K655" s="41">
        <v>1000</v>
      </c>
      <c r="L655" s="41">
        <v>2000</v>
      </c>
      <c r="M655" s="41">
        <v>3000</v>
      </c>
      <c r="N655" s="41">
        <v>4000</v>
      </c>
      <c r="O655" s="41">
        <v>5000</v>
      </c>
      <c r="P655" s="41">
        <v>6000</v>
      </c>
      <c r="Q655" s="41">
        <v>7000</v>
      </c>
    </row>
    <row r="656" spans="1:17" ht="15" customHeight="1" x14ac:dyDescent="0.3">
      <c r="A656" s="42"/>
      <c r="B656" s="43" t="s">
        <v>416</v>
      </c>
      <c r="C656" s="44" t="s">
        <v>45</v>
      </c>
      <c r="D656" s="47">
        <v>1.8</v>
      </c>
      <c r="E656" s="46" t="s">
        <v>47</v>
      </c>
      <c r="F656" s="47">
        <v>1.1599999999999999</v>
      </c>
      <c r="G656" s="46" t="s">
        <v>48</v>
      </c>
      <c r="H656" s="47">
        <v>0.97</v>
      </c>
      <c r="I656" s="48">
        <v>15</v>
      </c>
      <c r="J656" s="49">
        <f>ROUND((3732*$T$1),0)*1.05</f>
        <v>3918.6000000000004</v>
      </c>
      <c r="K656" s="49">
        <f>ROUND((4147*$T$1),0)*1.05</f>
        <v>4354.3500000000004</v>
      </c>
      <c r="L656" s="49">
        <f>ROUND((4241*$T$1),0)*1.05</f>
        <v>4453.05</v>
      </c>
      <c r="M656" s="49">
        <f>ROUND((4350*$T$1),0)*1.05</f>
        <v>4567.5</v>
      </c>
      <c r="N656" s="49">
        <f>ROUND((4460*$T$1),0)*1.05</f>
        <v>4683</v>
      </c>
      <c r="O656" s="49">
        <f>ROUND((4525*$T$1),0)*1.05</f>
        <v>4751.25</v>
      </c>
      <c r="P656" s="49">
        <f>ROUND((4721*$T$1),0)*1.05</f>
        <v>4957.05</v>
      </c>
      <c r="Q656" s="49">
        <f>ROUND((5049*$T$1),0)*1.05</f>
        <v>5301.45</v>
      </c>
    </row>
    <row r="657" spans="1:17" ht="15" customHeight="1" x14ac:dyDescent="0.3">
      <c r="A657" s="42"/>
      <c r="B657" s="43" t="s">
        <v>417</v>
      </c>
      <c r="C657" s="44" t="s">
        <v>45</v>
      </c>
      <c r="D657" s="47">
        <v>1.6</v>
      </c>
      <c r="E657" s="46" t="s">
        <v>47</v>
      </c>
      <c r="F657" s="47">
        <v>1.1599999999999999</v>
      </c>
      <c r="G657" s="46" t="s">
        <v>48</v>
      </c>
      <c r="H657" s="47">
        <v>0.97</v>
      </c>
      <c r="I657" s="57">
        <v>14.7</v>
      </c>
      <c r="J657" s="58">
        <f>ROUND((3620*$T$1),0)*1.05</f>
        <v>3801</v>
      </c>
      <c r="K657" s="58">
        <f>ROUND((4023*$T$1),0)*1.05</f>
        <v>4224.1500000000005</v>
      </c>
      <c r="L657" s="58">
        <f>ROUND((4114*$T$1),0)*1.05</f>
        <v>4319.7</v>
      </c>
      <c r="M657" s="58">
        <f>ROUND((4221*$T$1),0)*1.05</f>
        <v>4432.05</v>
      </c>
      <c r="N657" s="58">
        <f>ROUND((4326*$T$1),0)*1.05</f>
        <v>4542.3</v>
      </c>
      <c r="O657" s="58">
        <f>ROUND((4390*$T$1),0)*1.05</f>
        <v>4609.5</v>
      </c>
      <c r="P657" s="58">
        <f>ROUND((4579*$T$1),0)*1.05</f>
        <v>4807.95</v>
      </c>
      <c r="Q657" s="58">
        <f>ROUND((4897*$T$1),0)*1.05</f>
        <v>5141.8500000000004</v>
      </c>
    </row>
    <row r="658" spans="1:17" ht="15" customHeight="1" x14ac:dyDescent="0.3">
      <c r="A658" s="42"/>
      <c r="B658" s="44"/>
      <c r="C658" s="44"/>
      <c r="D658" s="47"/>
      <c r="E658" s="46"/>
      <c r="F658" s="47"/>
      <c r="G658" s="46"/>
      <c r="H658" s="47"/>
      <c r="I658" s="48"/>
      <c r="J658" s="49"/>
      <c r="K658" s="49"/>
      <c r="L658" s="49"/>
      <c r="M658" s="49"/>
      <c r="N658" s="49"/>
      <c r="O658" s="49"/>
      <c r="P658" s="49"/>
      <c r="Q658" s="49"/>
    </row>
    <row r="659" spans="1:17" ht="15" customHeight="1" x14ac:dyDescent="0.3">
      <c r="A659" s="42"/>
      <c r="B659" s="44"/>
      <c r="C659" s="44"/>
      <c r="D659" s="47"/>
      <c r="E659" s="46"/>
      <c r="F659" s="47"/>
      <c r="G659" s="46"/>
      <c r="H659" s="47"/>
      <c r="I659" s="48"/>
      <c r="J659" s="49"/>
      <c r="K659" s="49"/>
      <c r="L659" s="49"/>
      <c r="M659" s="49"/>
      <c r="N659" s="49"/>
      <c r="O659" s="49"/>
      <c r="P659" s="49"/>
      <c r="Q659" s="49"/>
    </row>
    <row r="660" spans="1:17" ht="15" customHeight="1" x14ac:dyDescent="0.3">
      <c r="A660" s="42"/>
      <c r="B660" s="44"/>
      <c r="C660" s="44"/>
      <c r="D660" s="47"/>
      <c r="E660" s="46"/>
      <c r="F660" s="47"/>
      <c r="G660" s="46"/>
      <c r="H660" s="47"/>
      <c r="I660" s="48"/>
      <c r="J660" s="49"/>
      <c r="K660" s="49"/>
      <c r="L660" s="49"/>
      <c r="M660" s="49"/>
      <c r="N660" s="49"/>
      <c r="O660" s="49"/>
      <c r="P660" s="49"/>
      <c r="Q660" s="49"/>
    </row>
    <row r="661" spans="1:17" ht="15" customHeight="1" x14ac:dyDescent="0.3">
      <c r="A661" s="42"/>
      <c r="B661" s="44"/>
      <c r="C661" s="44"/>
      <c r="D661" s="47"/>
      <c r="E661" s="46"/>
      <c r="F661" s="47"/>
      <c r="G661" s="46"/>
      <c r="H661" s="47"/>
      <c r="I661" s="48"/>
      <c r="J661" s="49"/>
      <c r="K661" s="49"/>
      <c r="L661" s="49"/>
      <c r="M661" s="49"/>
      <c r="N661" s="49"/>
      <c r="O661" s="49"/>
      <c r="P661" s="49"/>
      <c r="Q661" s="49"/>
    </row>
    <row r="662" spans="1:17" ht="15" customHeight="1" x14ac:dyDescent="0.3">
      <c r="A662" s="42"/>
      <c r="B662" s="44"/>
      <c r="C662" s="44"/>
      <c r="D662" s="47"/>
      <c r="E662" s="46"/>
      <c r="F662" s="47"/>
      <c r="G662" s="46"/>
      <c r="H662" s="47"/>
      <c r="I662" s="48"/>
      <c r="J662" s="49"/>
      <c r="K662" s="49"/>
      <c r="L662" s="49"/>
      <c r="M662" s="49"/>
      <c r="N662" s="49"/>
      <c r="O662" s="49"/>
      <c r="P662" s="49"/>
      <c r="Q662" s="49"/>
    </row>
    <row r="663" spans="1:17" ht="15" customHeight="1" x14ac:dyDescent="0.3">
      <c r="A663" s="42"/>
      <c r="B663" s="44"/>
      <c r="C663" s="44"/>
      <c r="D663" s="47"/>
      <c r="E663" s="46"/>
      <c r="F663" s="47"/>
      <c r="G663" s="46"/>
      <c r="H663" s="47"/>
      <c r="I663" s="48"/>
      <c r="J663" s="49"/>
      <c r="K663" s="49"/>
      <c r="L663" s="49"/>
      <c r="M663" s="49"/>
      <c r="N663" s="49"/>
      <c r="O663" s="49"/>
      <c r="P663" s="49"/>
      <c r="Q663" s="49"/>
    </row>
    <row r="664" spans="1:17" ht="15" customHeight="1" x14ac:dyDescent="0.3">
      <c r="A664" s="42"/>
      <c r="B664" s="44"/>
      <c r="C664" s="44"/>
      <c r="D664" s="47"/>
      <c r="E664" s="46"/>
      <c r="F664" s="47"/>
      <c r="G664" s="46"/>
      <c r="H664" s="47"/>
      <c r="I664" s="48"/>
      <c r="J664" s="49"/>
      <c r="K664" s="49"/>
      <c r="L664" s="49"/>
      <c r="M664" s="49"/>
      <c r="N664" s="49"/>
      <c r="O664" s="49"/>
      <c r="P664" s="49"/>
      <c r="Q664" s="49"/>
    </row>
    <row r="665" spans="1:17" ht="15" customHeight="1" x14ac:dyDescent="0.3">
      <c r="A665" s="42"/>
      <c r="B665" s="126" t="s">
        <v>418</v>
      </c>
      <c r="C665" s="44"/>
      <c r="D665" s="47"/>
      <c r="E665" s="46"/>
      <c r="F665" s="47"/>
      <c r="G665" s="46"/>
      <c r="H665" s="47"/>
      <c r="I665" s="48"/>
      <c r="J665" s="49"/>
      <c r="K665" s="49"/>
      <c r="L665" s="49"/>
      <c r="M665" s="49"/>
      <c r="N665" s="49"/>
      <c r="O665" s="49"/>
      <c r="P665" s="49"/>
      <c r="Q665" s="49"/>
    </row>
    <row r="666" spans="1:17" ht="15" customHeight="1" x14ac:dyDescent="0.3">
      <c r="A666" s="42"/>
      <c r="B666" s="44"/>
      <c r="C666" s="44"/>
      <c r="D666" s="47"/>
      <c r="E666" s="46"/>
      <c r="F666" s="47"/>
      <c r="G666" s="46"/>
      <c r="H666" s="47"/>
      <c r="I666" s="57"/>
      <c r="J666" s="58"/>
      <c r="K666" s="58"/>
      <c r="L666" s="58"/>
      <c r="M666" s="58"/>
      <c r="N666" s="58"/>
      <c r="O666" s="58"/>
      <c r="P666" s="58"/>
      <c r="Q666" s="58"/>
    </row>
    <row r="667" spans="1:17" ht="15" customHeight="1" x14ac:dyDescent="0.3">
      <c r="A667" s="42"/>
      <c r="B667" s="59" t="s">
        <v>419</v>
      </c>
      <c r="C667" s="60"/>
      <c r="D667" s="59" t="s">
        <v>420</v>
      </c>
      <c r="E667" s="59"/>
      <c r="F667" s="59"/>
      <c r="G667" s="59"/>
      <c r="H667" s="59"/>
      <c r="I667" s="61"/>
      <c r="J667" s="62"/>
      <c r="K667" s="62"/>
      <c r="L667" s="62"/>
      <c r="M667" s="62"/>
      <c r="N667" s="62"/>
      <c r="O667" s="62"/>
      <c r="P667" s="62"/>
      <c r="Q667" s="62"/>
    </row>
    <row r="668" spans="1:17" ht="15" customHeight="1" x14ac:dyDescent="0.3">
      <c r="A668" s="42"/>
      <c r="B668" s="63"/>
      <c r="C668" s="64"/>
      <c r="D668" s="65"/>
      <c r="E668" s="49"/>
      <c r="F668" s="66"/>
      <c r="G668" s="48"/>
      <c r="H668" s="66"/>
      <c r="I668" s="48"/>
      <c r="J668" s="49"/>
      <c r="K668" s="49"/>
      <c r="L668" s="49"/>
      <c r="M668" s="49"/>
      <c r="N668" s="49"/>
      <c r="O668" s="49"/>
      <c r="P668" s="49"/>
      <c r="Q668" s="49"/>
    </row>
    <row r="669" spans="1:17" ht="29.1" customHeight="1" x14ac:dyDescent="0.25">
      <c r="A669" s="192" t="s">
        <v>421</v>
      </c>
      <c r="B669" s="192"/>
      <c r="C669" s="187" t="s">
        <v>41</v>
      </c>
      <c r="D669" s="187"/>
      <c r="E669" s="187"/>
      <c r="F669" s="187"/>
      <c r="G669" s="187"/>
      <c r="H669" s="187"/>
      <c r="I669" s="78" t="s">
        <v>42</v>
      </c>
      <c r="J669" s="128"/>
      <c r="K669" s="128"/>
      <c r="L669" s="128"/>
      <c r="M669" s="128"/>
      <c r="N669" s="128"/>
      <c r="O669" s="128"/>
      <c r="P669" s="128"/>
      <c r="Q669" s="128"/>
    </row>
    <row r="670" spans="1:17" ht="15" customHeight="1" x14ac:dyDescent="0.3">
      <c r="A670" s="42"/>
      <c r="B670" s="44" t="s">
        <v>422</v>
      </c>
      <c r="C670" s="44" t="s">
        <v>45</v>
      </c>
      <c r="D670" s="47">
        <v>1.4</v>
      </c>
      <c r="E670" s="46" t="s">
        <v>47</v>
      </c>
      <c r="F670" s="47">
        <v>1.3</v>
      </c>
      <c r="G670" s="46" t="s">
        <v>48</v>
      </c>
      <c r="H670" s="47">
        <v>0.78</v>
      </c>
      <c r="I670" s="48">
        <v>14</v>
      </c>
      <c r="J670" s="49">
        <f>ROUND((4318*$T$1),0)*1.05</f>
        <v>4533.9000000000005</v>
      </c>
      <c r="K670" s="49">
        <f>ROUND((4798*$T$1),0)*1.05</f>
        <v>5037.9000000000005</v>
      </c>
      <c r="L670" s="49">
        <f>ROUND((4882*$T$1),0)*1.05</f>
        <v>5126.1000000000004</v>
      </c>
      <c r="M670" s="49">
        <f>ROUND((4980*$T$1),0)*1.05</f>
        <v>5229</v>
      </c>
      <c r="N670" s="49">
        <f>ROUND((5076*$T$1),0)*1.05</f>
        <v>5329.8</v>
      </c>
      <c r="O670" s="49">
        <f>ROUND((5135*$T$1),0)*1.05</f>
        <v>5391.75</v>
      </c>
      <c r="P670" s="49">
        <f>ROUND((5310*$T$1),0)*1.05</f>
        <v>5575.5</v>
      </c>
      <c r="Q670" s="49">
        <f>ROUND((5602*$T$1),0)*1.05</f>
        <v>5882.1</v>
      </c>
    </row>
    <row r="671" spans="1:17" ht="15" customHeight="1" x14ac:dyDescent="0.3">
      <c r="A671" s="42"/>
      <c r="B671" s="44" t="s">
        <v>423</v>
      </c>
      <c r="C671" s="44" t="s">
        <v>45</v>
      </c>
      <c r="D671" s="47">
        <v>1.3</v>
      </c>
      <c r="E671" s="46" t="s">
        <v>47</v>
      </c>
      <c r="F671" s="47">
        <v>1.3</v>
      </c>
      <c r="G671" s="46" t="s">
        <v>48</v>
      </c>
      <c r="H671" s="47">
        <v>0.78</v>
      </c>
      <c r="I671" s="48">
        <v>13.8</v>
      </c>
      <c r="J671" s="49">
        <f>ROUND((4232*$T$1),0)*1.05</f>
        <v>4443.6000000000004</v>
      </c>
      <c r="K671" s="49">
        <f>ROUND((4702*$T$1),0)*1.05</f>
        <v>4937.1000000000004</v>
      </c>
      <c r="L671" s="49">
        <f>ROUND((4784*$T$1),0)*1.05</f>
        <v>5023.2</v>
      </c>
      <c r="M671" s="49">
        <f>ROUND((4879*$T$1),0)*1.05</f>
        <v>5122.95</v>
      </c>
      <c r="N671" s="49">
        <f>ROUND((4975*$T$1),0)*1.05</f>
        <v>5223.75</v>
      </c>
      <c r="O671" s="49">
        <f>ROUND((5032*$T$1),0)*1.05</f>
        <v>5283.6</v>
      </c>
      <c r="P671" s="49">
        <f>ROUND((5204*$T$1),0)*1.05</f>
        <v>5464.2</v>
      </c>
      <c r="Q671" s="49">
        <f>ROUND((5490*$T$1),0)*1.05</f>
        <v>5764.5</v>
      </c>
    </row>
    <row r="672" spans="1:17" ht="15" customHeight="1" x14ac:dyDescent="0.3">
      <c r="A672" s="42"/>
      <c r="B672" s="44" t="s">
        <v>424</v>
      </c>
      <c r="C672" s="44" t="s">
        <v>45</v>
      </c>
      <c r="D672" s="47">
        <v>1.2</v>
      </c>
      <c r="E672" s="46" t="s">
        <v>47</v>
      </c>
      <c r="F672" s="47">
        <v>1.3</v>
      </c>
      <c r="G672" s="46" t="s">
        <v>48</v>
      </c>
      <c r="H672" s="47">
        <v>0.78</v>
      </c>
      <c r="I672" s="48">
        <v>13.6</v>
      </c>
      <c r="J672" s="49">
        <f>ROUND((4147*$T$1),0)*1.05</f>
        <v>4354.3500000000004</v>
      </c>
      <c r="K672" s="49">
        <f>ROUND((4608*$T$1),0)*1.05</f>
        <v>4838.4000000000005</v>
      </c>
      <c r="L672" s="49">
        <f>ROUND((4689*$T$1),0)*1.05</f>
        <v>4923.45</v>
      </c>
      <c r="M672" s="49">
        <f>ROUND((4783*$T$1),0)*1.05</f>
        <v>5022.1500000000005</v>
      </c>
      <c r="N672" s="49">
        <f>ROUND((4875*$T$1),0)*1.05</f>
        <v>5118.75</v>
      </c>
      <c r="O672" s="49">
        <f>ROUND((4931*$T$1),0)*1.05</f>
        <v>5177.55</v>
      </c>
      <c r="P672" s="49">
        <f>ROUND((5099*$T$1),0)*1.05</f>
        <v>5353.95</v>
      </c>
      <c r="Q672" s="49">
        <f>ROUND((5380*$T$1),0)*1.05</f>
        <v>5649</v>
      </c>
    </row>
    <row r="673" spans="1:17" ht="15" customHeight="1" x14ac:dyDescent="0.3">
      <c r="A673" s="42"/>
      <c r="B673" s="44" t="s">
        <v>425</v>
      </c>
      <c r="C673" s="44" t="s">
        <v>45</v>
      </c>
      <c r="D673" s="47">
        <v>1.1000000000000001</v>
      </c>
      <c r="E673" s="46" t="s">
        <v>47</v>
      </c>
      <c r="F673" s="47">
        <v>1.3</v>
      </c>
      <c r="G673" s="46" t="s">
        <v>48</v>
      </c>
      <c r="H673" s="47">
        <v>0.78</v>
      </c>
      <c r="I673" s="48">
        <v>13.4</v>
      </c>
      <c r="J673" s="49">
        <f>ROUND((4064*$T$1),0)*1.05</f>
        <v>4267.2</v>
      </c>
      <c r="K673" s="49">
        <f>ROUND((4516*$T$1),0)*1.05</f>
        <v>4741.8</v>
      </c>
      <c r="L673" s="49">
        <f>ROUND((4594*$T$1),0)*1.05</f>
        <v>4823.7</v>
      </c>
      <c r="M673" s="49">
        <f>ROUND((4686*$T$1),0)*1.05</f>
        <v>4920.3</v>
      </c>
      <c r="N673" s="49">
        <f>ROUND((4777*$T$1),0)*1.05</f>
        <v>5015.8500000000004</v>
      </c>
      <c r="O673" s="49">
        <f>ROUND((4832*$T$1),0)*1.05</f>
        <v>5073.6000000000004</v>
      </c>
      <c r="P673" s="49">
        <f>ROUND((4997*$T$1),0)*1.05</f>
        <v>5246.85</v>
      </c>
      <c r="Q673" s="49">
        <f>ROUND((5273*$T$1),0)*1.05</f>
        <v>5536.6500000000005</v>
      </c>
    </row>
    <row r="674" spans="1:17" ht="15" customHeight="1" x14ac:dyDescent="0.3">
      <c r="A674" s="42"/>
      <c r="B674" s="44" t="s">
        <v>426</v>
      </c>
      <c r="C674" s="44" t="s">
        <v>45</v>
      </c>
      <c r="D674" s="47">
        <v>1</v>
      </c>
      <c r="E674" s="46" t="s">
        <v>47</v>
      </c>
      <c r="F674" s="47">
        <v>1.3</v>
      </c>
      <c r="G674" s="46" t="s">
        <v>48</v>
      </c>
      <c r="H674" s="47">
        <v>0.78</v>
      </c>
      <c r="I674" s="48">
        <v>13.2</v>
      </c>
      <c r="J674" s="49">
        <f>ROUND((3982*$T$1),0)*1.05</f>
        <v>4181.1000000000004</v>
      </c>
      <c r="K674" s="49">
        <f>ROUND((4425*$T$1),0)*1.05</f>
        <v>4646.25</v>
      </c>
      <c r="L674" s="49">
        <f>ROUND((4502*$T$1),0)*1.05</f>
        <v>4727.1000000000004</v>
      </c>
      <c r="M674" s="49">
        <f>ROUND((4593*$T$1),0)*1.05</f>
        <v>4822.6500000000005</v>
      </c>
      <c r="N674" s="49">
        <f>ROUND((4692*$T$1),0)*1.05</f>
        <v>4926.6000000000004</v>
      </c>
      <c r="O674" s="49">
        <f>ROUND((4736*$T$1),0)*1.05</f>
        <v>4972.8</v>
      </c>
      <c r="P674" s="49">
        <f>ROUND((4898*$T$1),0)*1.05</f>
        <v>5142.9000000000005</v>
      </c>
      <c r="Q674" s="49">
        <f>ROUND((5167*$T$1),0)*1.05</f>
        <v>5425.35</v>
      </c>
    </row>
    <row r="675" spans="1:17" ht="15" customHeight="1" x14ac:dyDescent="0.3">
      <c r="A675" s="42"/>
      <c r="B675" s="44"/>
      <c r="C675" s="44"/>
      <c r="D675" s="47"/>
      <c r="E675" s="46"/>
      <c r="F675" s="47"/>
      <c r="G675" s="46"/>
      <c r="H675" s="47"/>
      <c r="I675" s="48"/>
      <c r="J675" s="49"/>
      <c r="K675" s="49"/>
      <c r="L675" s="49"/>
      <c r="M675" s="49"/>
      <c r="N675" s="49"/>
      <c r="O675" s="49"/>
      <c r="P675" s="49"/>
      <c r="Q675" s="49"/>
    </row>
    <row r="676" spans="1:17" ht="15" customHeight="1" x14ac:dyDescent="0.3">
      <c r="A676" s="42"/>
      <c r="B676" s="44" t="s">
        <v>427</v>
      </c>
      <c r="C676" s="44" t="s">
        <v>45</v>
      </c>
      <c r="D676" s="47">
        <v>1.3</v>
      </c>
      <c r="E676" s="46" t="s">
        <v>47</v>
      </c>
      <c r="F676" s="47">
        <v>1.3</v>
      </c>
      <c r="G676" s="46" t="s">
        <v>48</v>
      </c>
      <c r="H676" s="47">
        <v>0.78</v>
      </c>
      <c r="I676" s="48">
        <v>14</v>
      </c>
      <c r="J676" s="49">
        <f>ROUND((4318*$T$1),0)*1.05</f>
        <v>4533.9000000000005</v>
      </c>
      <c r="K676" s="49">
        <f>ROUND((4798*$T$1),0)*1.05</f>
        <v>5037.9000000000005</v>
      </c>
      <c r="L676" s="49">
        <f>ROUND((4882*$T$1),0)*1.05</f>
        <v>5126.1000000000004</v>
      </c>
      <c r="M676" s="49">
        <f>ROUND((4980*$T$1),0)*1.05</f>
        <v>5229</v>
      </c>
      <c r="N676" s="49">
        <f>ROUND((5076*$T$1),0)*1.05</f>
        <v>5329.8</v>
      </c>
      <c r="O676" s="49">
        <f>ROUND((5135*$T$1),0)*1.05</f>
        <v>5391.75</v>
      </c>
      <c r="P676" s="49">
        <f>ROUND((5310*$T$1),0)*1.05</f>
        <v>5575.5</v>
      </c>
      <c r="Q676" s="49">
        <f>ROUND((5602*$T$1),0)*1.05</f>
        <v>5882.1</v>
      </c>
    </row>
    <row r="677" spans="1:17" ht="15" customHeight="1" x14ac:dyDescent="0.3">
      <c r="A677" s="42"/>
      <c r="B677" s="44" t="s">
        <v>428</v>
      </c>
      <c r="C677" s="44" t="s">
        <v>45</v>
      </c>
      <c r="D677" s="47">
        <v>1.2</v>
      </c>
      <c r="E677" s="46" t="s">
        <v>47</v>
      </c>
      <c r="F677" s="47">
        <v>1.3</v>
      </c>
      <c r="G677" s="46" t="s">
        <v>48</v>
      </c>
      <c r="H677" s="47">
        <v>0.78</v>
      </c>
      <c r="I677" s="48">
        <v>13.8</v>
      </c>
      <c r="J677" s="49">
        <f>ROUND((4232*$T$1),0)*1.05</f>
        <v>4443.6000000000004</v>
      </c>
      <c r="K677" s="49">
        <f>ROUND((4702*$T$1),0)*1.05</f>
        <v>4937.1000000000004</v>
      </c>
      <c r="L677" s="49">
        <f>ROUND((4784*$T$1),0)*1.05</f>
        <v>5023.2</v>
      </c>
      <c r="M677" s="49">
        <f>ROUND((4879*$T$1),0)*1.05</f>
        <v>5122.95</v>
      </c>
      <c r="N677" s="49">
        <f>ROUND((4975*$T$1),0)*1.05</f>
        <v>5223.75</v>
      </c>
      <c r="O677" s="49">
        <f>ROUND((5032*$T$1),0)*1.05</f>
        <v>5283.6</v>
      </c>
      <c r="P677" s="49">
        <f>ROUND((5204*$T$1),0)*1.05</f>
        <v>5464.2</v>
      </c>
      <c r="Q677" s="49">
        <f>ROUND((5490*$T$1),0)*1.05</f>
        <v>5764.5</v>
      </c>
    </row>
    <row r="678" spans="1:17" ht="15" customHeight="1" x14ac:dyDescent="0.3">
      <c r="A678" s="42"/>
      <c r="B678" s="44" t="s">
        <v>429</v>
      </c>
      <c r="C678" s="44" t="s">
        <v>45</v>
      </c>
      <c r="D678" s="47">
        <v>1.1000000000000001</v>
      </c>
      <c r="E678" s="46" t="s">
        <v>47</v>
      </c>
      <c r="F678" s="47">
        <v>1.3</v>
      </c>
      <c r="G678" s="46" t="s">
        <v>48</v>
      </c>
      <c r="H678" s="47">
        <v>0.78</v>
      </c>
      <c r="I678" s="48">
        <v>13.6</v>
      </c>
      <c r="J678" s="49">
        <f>ROUND((4147*$T$1),0)*1.05</f>
        <v>4354.3500000000004</v>
      </c>
      <c r="K678" s="49">
        <f>ROUND((4608*$T$1),0)*1.05</f>
        <v>4838.4000000000005</v>
      </c>
      <c r="L678" s="49">
        <f>ROUND((4689*$T$1),0)*1.05</f>
        <v>4923.45</v>
      </c>
      <c r="M678" s="49">
        <f>ROUND((4783*$T$1),0)*1.05</f>
        <v>5022.1500000000005</v>
      </c>
      <c r="N678" s="49">
        <f>ROUND((4875*$T$1),0)*1.05</f>
        <v>5118.75</v>
      </c>
      <c r="O678" s="49">
        <f>ROUND((4931*$T$1),0)*1.05</f>
        <v>5177.55</v>
      </c>
      <c r="P678" s="49">
        <f>ROUND((5099*$T$1),0)*1.05</f>
        <v>5353.95</v>
      </c>
      <c r="Q678" s="49">
        <f>ROUND((5380*$T$1),0)*1.05</f>
        <v>5649</v>
      </c>
    </row>
    <row r="679" spans="1:17" ht="15" customHeight="1" x14ac:dyDescent="0.3">
      <c r="A679" s="42"/>
      <c r="B679" s="44" t="s">
        <v>430</v>
      </c>
      <c r="C679" s="44" t="s">
        <v>45</v>
      </c>
      <c r="D679" s="47">
        <v>1</v>
      </c>
      <c r="E679" s="46" t="s">
        <v>47</v>
      </c>
      <c r="F679" s="47">
        <v>1.3</v>
      </c>
      <c r="G679" s="46" t="s">
        <v>48</v>
      </c>
      <c r="H679" s="47">
        <v>0.78</v>
      </c>
      <c r="I679" s="48">
        <v>13.4</v>
      </c>
      <c r="J679" s="49">
        <f>ROUND((4064*$T$1),0)*1.05</f>
        <v>4267.2</v>
      </c>
      <c r="K679" s="49">
        <f>ROUND((4516*$T$1),0)*1.05</f>
        <v>4741.8</v>
      </c>
      <c r="L679" s="49">
        <f>ROUND((4594*$T$1),0)*1.05</f>
        <v>4823.7</v>
      </c>
      <c r="M679" s="49">
        <f>ROUND((4686*$T$1),0)*1.05</f>
        <v>4920.3</v>
      </c>
      <c r="N679" s="49">
        <f>ROUND((4777*$T$1),0)*1.05</f>
        <v>5015.8500000000004</v>
      </c>
      <c r="O679" s="49">
        <f>ROUND((4832*$T$1),0)*1.05</f>
        <v>5073.6000000000004</v>
      </c>
      <c r="P679" s="49">
        <f>ROUND((4997*$T$1),0)*1.05</f>
        <v>5246.85</v>
      </c>
      <c r="Q679" s="49">
        <f>ROUND((5273*$T$1),0)*1.05</f>
        <v>5536.6500000000005</v>
      </c>
    </row>
    <row r="680" spans="1:17" ht="15" customHeight="1" x14ac:dyDescent="0.3">
      <c r="A680" s="42"/>
      <c r="B680" s="44" t="s">
        <v>431</v>
      </c>
      <c r="C680" s="44" t="s">
        <v>45</v>
      </c>
      <c r="D680" s="47">
        <v>0.9</v>
      </c>
      <c r="E680" s="46" t="s">
        <v>47</v>
      </c>
      <c r="F680" s="47">
        <v>1.3</v>
      </c>
      <c r="G680" s="46" t="s">
        <v>48</v>
      </c>
      <c r="H680" s="47">
        <v>0.78</v>
      </c>
      <c r="I680" s="48">
        <v>13.2</v>
      </c>
      <c r="J680" s="49">
        <f>ROUND((3982*$T$1),0)*1.05</f>
        <v>4181.1000000000004</v>
      </c>
      <c r="K680" s="49">
        <f>ROUND((4425*$T$1),0)*1.05</f>
        <v>4646.25</v>
      </c>
      <c r="L680" s="49">
        <f>ROUND((4502*$T$1),0)*1.05</f>
        <v>4727.1000000000004</v>
      </c>
      <c r="M680" s="49">
        <f>ROUND((4593*$T$1),0)*1.05</f>
        <v>4822.6500000000005</v>
      </c>
      <c r="N680" s="49">
        <f>ROUND((4692*$T$1),0)*1.05</f>
        <v>4926.6000000000004</v>
      </c>
      <c r="O680" s="49">
        <f>ROUND((4736*$T$1),0)*1.05</f>
        <v>4972.8</v>
      </c>
      <c r="P680" s="49">
        <f>ROUND((4898*$T$1),0)*1.05</f>
        <v>5142.9000000000005</v>
      </c>
      <c r="Q680" s="49">
        <f>ROUND((5167*$T$1),0)*1.05</f>
        <v>5425.35</v>
      </c>
    </row>
    <row r="681" spans="1:17" ht="15" customHeight="1" x14ac:dyDescent="0.3">
      <c r="A681" s="42"/>
      <c r="B681" s="44"/>
      <c r="C681" s="44"/>
      <c r="D681" s="47"/>
      <c r="E681" s="46"/>
      <c r="F681" s="47"/>
      <c r="G681" s="46"/>
      <c r="H681" s="47"/>
      <c r="I681" s="48"/>
      <c r="J681" s="49"/>
      <c r="K681" s="49"/>
      <c r="L681" s="49"/>
      <c r="M681" s="49"/>
      <c r="N681" s="49"/>
      <c r="O681" s="49"/>
      <c r="P681" s="49"/>
      <c r="Q681" s="49"/>
    </row>
    <row r="682" spans="1:17" ht="15" customHeight="1" x14ac:dyDescent="0.3">
      <c r="A682" s="42"/>
      <c r="B682" s="44" t="s">
        <v>432</v>
      </c>
      <c r="C682" s="44" t="s">
        <v>45</v>
      </c>
      <c r="D682" s="47">
        <v>1.2</v>
      </c>
      <c r="E682" s="46" t="s">
        <v>47</v>
      </c>
      <c r="F682" s="47">
        <v>1.3</v>
      </c>
      <c r="G682" s="46" t="s">
        <v>48</v>
      </c>
      <c r="H682" s="47">
        <v>0.78</v>
      </c>
      <c r="I682" s="48">
        <v>11</v>
      </c>
      <c r="J682" s="49">
        <f>ROUND((3873*$T$1),0)*1.05</f>
        <v>4066.65</v>
      </c>
      <c r="K682" s="49">
        <f>ROUND((4303*$T$1),0)*1.05</f>
        <v>4518.1500000000005</v>
      </c>
      <c r="L682" s="49">
        <f>ROUND((4372*$T$1),0)*1.05</f>
        <v>4590.6000000000004</v>
      </c>
      <c r="M682" s="49">
        <f>ROUND((4453*$T$1),0)*1.05</f>
        <v>4675.6500000000005</v>
      </c>
      <c r="N682" s="49">
        <f>ROUND((4533*$T$1),0)*1.05</f>
        <v>4759.6500000000005</v>
      </c>
      <c r="O682" s="49">
        <f>ROUND((4580*$T$1),0)*1.05</f>
        <v>4809</v>
      </c>
      <c r="P682" s="49">
        <f>ROUND((4725*$T$1),0)*1.05</f>
        <v>4961.25</v>
      </c>
      <c r="Q682" s="49">
        <f>ROUND((4966*$T$1),0)*1.05</f>
        <v>5214.3</v>
      </c>
    </row>
    <row r="683" spans="1:17" ht="15" customHeight="1" x14ac:dyDescent="0.3">
      <c r="A683" s="42"/>
      <c r="B683" s="44" t="s">
        <v>433</v>
      </c>
      <c r="C683" s="44" t="s">
        <v>45</v>
      </c>
      <c r="D683" s="47">
        <v>1.1000000000000001</v>
      </c>
      <c r="E683" s="46" t="s">
        <v>47</v>
      </c>
      <c r="F683" s="47">
        <v>1.3</v>
      </c>
      <c r="G683" s="46" t="s">
        <v>48</v>
      </c>
      <c r="H683" s="47">
        <v>0.78</v>
      </c>
      <c r="I683" s="48">
        <v>10.8</v>
      </c>
      <c r="J683" s="49">
        <f>ROUND((3795*$T$1),0)*1.05</f>
        <v>3984.75</v>
      </c>
      <c r="K683" s="49">
        <f>ROUND((4217*$T$1),0)*1.05</f>
        <v>4427.8500000000004</v>
      </c>
      <c r="L683" s="49">
        <f>ROUND((4285*$T$1),0)*1.05</f>
        <v>4499.25</v>
      </c>
      <c r="M683" s="49">
        <f>ROUND((4364*$T$1),0)*1.05</f>
        <v>4582.2</v>
      </c>
      <c r="N683" s="49">
        <f>ROUND((4442*$T$1),0)*1.05</f>
        <v>4664.1000000000004</v>
      </c>
      <c r="O683" s="49">
        <f>ROUND((4488*$T$1),0)*1.05</f>
        <v>4712.4000000000005</v>
      </c>
      <c r="P683" s="49">
        <f>ROUND((4631*$T$1),0)*1.05</f>
        <v>4862.55</v>
      </c>
      <c r="Q683" s="49">
        <f>ROUND((4994*$T$1),0)*1.05</f>
        <v>5243.7</v>
      </c>
    </row>
    <row r="684" spans="1:17" ht="15" customHeight="1" x14ac:dyDescent="0.3">
      <c r="A684" s="42"/>
      <c r="B684" s="44" t="s">
        <v>434</v>
      </c>
      <c r="C684" s="44" t="s">
        <v>45</v>
      </c>
      <c r="D684" s="47">
        <v>1</v>
      </c>
      <c r="E684" s="46" t="s">
        <v>47</v>
      </c>
      <c r="F684" s="47">
        <v>1.3</v>
      </c>
      <c r="G684" s="46" t="s">
        <v>48</v>
      </c>
      <c r="H684" s="47">
        <v>0.78</v>
      </c>
      <c r="I684" s="48">
        <v>10.6</v>
      </c>
      <c r="J684" s="49">
        <f>ROUND((3719*$T$1),0)*1.05</f>
        <v>3904.9500000000003</v>
      </c>
      <c r="K684" s="49">
        <f>ROUND((4133*$T$1),0)*1.05</f>
        <v>4339.6500000000005</v>
      </c>
      <c r="L684" s="49">
        <f>ROUND((4199*$T$1),0)*1.05</f>
        <v>4408.95</v>
      </c>
      <c r="M684" s="49">
        <f>ROUND((4277*$T$1),0)*1.05</f>
        <v>4490.8500000000004</v>
      </c>
      <c r="N684" s="49">
        <f>ROUND((4354*$T$1),0)*1.05</f>
        <v>4571.7</v>
      </c>
      <c r="O684" s="49">
        <f>ROUND((4440*$T$1),0)*1.05</f>
        <v>4662</v>
      </c>
      <c r="P684" s="49">
        <f>ROUND((4538*$T$1),0)*1.05</f>
        <v>4764.9000000000005</v>
      </c>
      <c r="Q684" s="49">
        <f>ROUND((4769*$T$1),0)*1.05</f>
        <v>5007.45</v>
      </c>
    </row>
    <row r="685" spans="1:17" ht="15" customHeight="1" x14ac:dyDescent="0.3">
      <c r="A685" s="42"/>
      <c r="B685" s="44" t="s">
        <v>435</v>
      </c>
      <c r="C685" s="44" t="s">
        <v>45</v>
      </c>
      <c r="D685" s="47">
        <v>0.9</v>
      </c>
      <c r="E685" s="46" t="s">
        <v>47</v>
      </c>
      <c r="F685" s="47">
        <v>1.3</v>
      </c>
      <c r="G685" s="46" t="s">
        <v>48</v>
      </c>
      <c r="H685" s="47">
        <v>0.78</v>
      </c>
      <c r="I685" s="48">
        <v>10.4</v>
      </c>
      <c r="J685" s="49">
        <f>ROUND((3646*$T$1),0)*1.05</f>
        <v>3828.3</v>
      </c>
      <c r="K685" s="49">
        <f>ROUND((4050*$T$1),0)*1.05</f>
        <v>4252.5</v>
      </c>
      <c r="L685" s="49">
        <f>ROUND((4115*$T$1),0)*1.05</f>
        <v>4320.75</v>
      </c>
      <c r="M685" s="49">
        <f>ROUND((4191*$T$1),0)*1.05</f>
        <v>4400.55</v>
      </c>
      <c r="N685" s="49">
        <f>ROUND((4267*$T$1),0)*1.05</f>
        <v>4480.3500000000004</v>
      </c>
      <c r="O685" s="49">
        <f>ROUND((4311*$T$1),0)*1.05</f>
        <v>4526.55</v>
      </c>
      <c r="P685" s="49">
        <f>ROUND((4447*$T$1),0)*1.05</f>
        <v>4669.3500000000004</v>
      </c>
      <c r="Q685" s="49">
        <f>ROUND((4674*$T$1),0)*1.05</f>
        <v>4907.7</v>
      </c>
    </row>
    <row r="686" spans="1:17" ht="15" customHeight="1" x14ac:dyDescent="0.3">
      <c r="A686" s="42"/>
      <c r="B686" s="44" t="s">
        <v>436</v>
      </c>
      <c r="C686" s="44" t="s">
        <v>45</v>
      </c>
      <c r="D686" s="47">
        <v>0.8</v>
      </c>
      <c r="E686" s="46" t="s">
        <v>47</v>
      </c>
      <c r="F686" s="47">
        <v>1.3</v>
      </c>
      <c r="G686" s="46" t="s">
        <v>48</v>
      </c>
      <c r="H686" s="47">
        <v>0.78</v>
      </c>
      <c r="I686" s="48">
        <v>10.199999999999999</v>
      </c>
      <c r="J686" s="49">
        <f>ROUND((3572*$T$1),0)*1.05</f>
        <v>3750.6000000000004</v>
      </c>
      <c r="K686" s="49">
        <f>ROUND((3970*$T$1),0)*1.05</f>
        <v>4168.5</v>
      </c>
      <c r="L686" s="49">
        <f>ROUND((4033*$T$1),0)*1.05</f>
        <v>4234.6500000000005</v>
      </c>
      <c r="M686" s="49">
        <f>ROUND((4107*$T$1),0)*1.05</f>
        <v>4312.3500000000004</v>
      </c>
      <c r="N686" s="49">
        <f>ROUND((4181*$T$1),0)*1.05</f>
        <v>4390.05</v>
      </c>
      <c r="O686" s="49">
        <f>ROUND((4225*$T$1),0)*1.05</f>
        <v>4436.25</v>
      </c>
      <c r="P686" s="49">
        <f>ROUND((4359*$T$1),0)*1.05</f>
        <v>4576.95</v>
      </c>
      <c r="Q686" s="49">
        <f>ROUND((4580*$T$1),0)*1.05</f>
        <v>4809</v>
      </c>
    </row>
    <row r="687" spans="1:17" ht="15" customHeight="1" x14ac:dyDescent="0.3">
      <c r="A687" s="42"/>
      <c r="B687" s="44"/>
      <c r="C687" s="44"/>
      <c r="D687" s="47"/>
      <c r="E687" s="46"/>
      <c r="F687" s="47"/>
      <c r="G687" s="46"/>
      <c r="H687" s="47"/>
      <c r="I687" s="48"/>
      <c r="J687" s="49"/>
      <c r="K687" s="49"/>
      <c r="L687" s="49"/>
      <c r="M687" s="49"/>
      <c r="N687" s="49"/>
      <c r="O687" s="49"/>
      <c r="P687" s="49"/>
      <c r="Q687" s="49"/>
    </row>
    <row r="688" spans="1:17" ht="15" customHeight="1" x14ac:dyDescent="0.3">
      <c r="A688" s="42"/>
      <c r="B688" s="44" t="s">
        <v>98</v>
      </c>
      <c r="C688" s="44" t="s">
        <v>45</v>
      </c>
      <c r="D688" s="47">
        <v>0.5</v>
      </c>
      <c r="E688" s="46" t="s">
        <v>47</v>
      </c>
      <c r="F688" s="47">
        <v>1</v>
      </c>
      <c r="G688" s="46" t="s">
        <v>48</v>
      </c>
      <c r="H688" s="47">
        <v>0.5</v>
      </c>
      <c r="I688" s="48">
        <v>4.0999999999999996</v>
      </c>
      <c r="J688" s="49">
        <f>ROUND((1429*$T$1),0)*1.05</f>
        <v>1500.45</v>
      </c>
      <c r="K688" s="49">
        <f>ROUND((1588*$T$1),0)*1.05</f>
        <v>1667.4</v>
      </c>
      <c r="L688" s="49">
        <f>ROUND((1613*$T$1),0)*1.05</f>
        <v>1693.65</v>
      </c>
      <c r="M688" s="49">
        <f>ROUND((1643*$T$1),0)*1.05</f>
        <v>1725.15</v>
      </c>
      <c r="N688" s="49">
        <f>ROUND((1672*$T$1),0)*1.05</f>
        <v>1755.6000000000001</v>
      </c>
      <c r="O688" s="49">
        <f>ROUND((1691*$T$1),0)*1.05</f>
        <v>1775.5500000000002</v>
      </c>
      <c r="P688" s="49">
        <f>ROUND((1743*$T$1),0)*1.05</f>
        <v>1830.15</v>
      </c>
      <c r="Q688" s="49">
        <f>ROUND((1832*$T$1),0)*1.05</f>
        <v>1923.6000000000001</v>
      </c>
    </row>
    <row r="689" spans="1:17" ht="15" customHeight="1" x14ac:dyDescent="0.3">
      <c r="A689" s="42"/>
      <c r="B689" s="51" t="s">
        <v>35</v>
      </c>
      <c r="C689" s="44" t="s">
        <v>45</v>
      </c>
      <c r="D689" s="47">
        <v>1.3</v>
      </c>
      <c r="E689" s="46" t="s">
        <v>47</v>
      </c>
      <c r="F689" s="47">
        <v>1.3</v>
      </c>
      <c r="G689" s="46" t="s">
        <v>48</v>
      </c>
      <c r="H689" s="47">
        <v>0.78</v>
      </c>
      <c r="I689" s="48">
        <v>13.3</v>
      </c>
      <c r="J689" s="49">
        <f>ROUND((4063*$T$1),0)*1.05</f>
        <v>4266.1500000000005</v>
      </c>
      <c r="K689" s="49">
        <f>ROUND((4514*$T$1),0)*1.05</f>
        <v>4739.7</v>
      </c>
      <c r="L689" s="49">
        <f>ROUND((4593*$T$1),0)*1.05</f>
        <v>4822.6500000000005</v>
      </c>
      <c r="M689" s="49">
        <f>ROUND((4685*$T$1),0)*1.05</f>
        <v>4919.25</v>
      </c>
      <c r="N689" s="49">
        <f>ROUND((4776*$T$1),0)*1.05</f>
        <v>5014.8</v>
      </c>
      <c r="O689" s="49">
        <f>ROUND((4831*$T$1),0)*1.05</f>
        <v>5072.55</v>
      </c>
      <c r="P689" s="49">
        <f>ROUND((4996*$T$1),0)*1.05</f>
        <v>5245.8</v>
      </c>
      <c r="Q689" s="49">
        <f>ROUND((5270*$T$1),0)*1.05</f>
        <v>5533.5</v>
      </c>
    </row>
    <row r="690" spans="1:17" ht="15" customHeight="1" x14ac:dyDescent="0.3">
      <c r="A690" s="42"/>
      <c r="B690" s="44" t="s">
        <v>437</v>
      </c>
      <c r="C690" s="44" t="s">
        <v>45</v>
      </c>
      <c r="D690" s="47">
        <v>1.4</v>
      </c>
      <c r="E690" s="46" t="s">
        <v>47</v>
      </c>
      <c r="F690" s="47">
        <v>1.79</v>
      </c>
      <c r="G690" s="46" t="s">
        <v>48</v>
      </c>
      <c r="H690" s="47">
        <v>0.78</v>
      </c>
      <c r="I690" s="48">
        <v>16.5</v>
      </c>
      <c r="J690" s="49">
        <f>ROUND((5080*$T$1),0)*1.05</f>
        <v>5334</v>
      </c>
      <c r="K690" s="49">
        <f>ROUND((5644*$T$1),0)*1.05</f>
        <v>5926.2</v>
      </c>
      <c r="L690" s="49">
        <f>ROUND((5743*$T$1),0)*1.05</f>
        <v>6030.1500000000005</v>
      </c>
      <c r="M690" s="49">
        <f>ROUND((5858*$T$1),0)*1.05</f>
        <v>6150.9000000000005</v>
      </c>
      <c r="N690" s="49">
        <f>ROUND((5972*$T$1),0)*1.05</f>
        <v>6270.6</v>
      </c>
      <c r="O690" s="49">
        <f>ROUND((6041*$T$1),0)*1.05</f>
        <v>6343.05</v>
      </c>
      <c r="P690" s="49">
        <f>ROUND((6247*$T$1),0)*1.05</f>
        <v>6559.35</v>
      </c>
      <c r="Q690" s="49">
        <f>ROUND((6591*$T$1),0)*1.05</f>
        <v>6920.55</v>
      </c>
    </row>
    <row r="691" spans="1:17" ht="15" customHeight="1" x14ac:dyDescent="0.3">
      <c r="A691" s="42"/>
      <c r="B691" s="44" t="s">
        <v>438</v>
      </c>
      <c r="C691" s="44" t="s">
        <v>45</v>
      </c>
      <c r="D691" s="47">
        <v>1.3</v>
      </c>
      <c r="E691" s="46" t="s">
        <v>47</v>
      </c>
      <c r="F691" s="47">
        <v>1.79</v>
      </c>
      <c r="G691" s="46" t="s">
        <v>48</v>
      </c>
      <c r="H691" s="47">
        <v>0.78</v>
      </c>
      <c r="I691" s="48">
        <v>16.5</v>
      </c>
      <c r="J691" s="49">
        <f>ROUND((5080*$T$1),0)*1.05</f>
        <v>5334</v>
      </c>
      <c r="K691" s="49">
        <f>ROUND((5644*$T$1),0)*1.05</f>
        <v>5926.2</v>
      </c>
      <c r="L691" s="49">
        <f>ROUND((5743*$T$1),0)*1.05</f>
        <v>6030.1500000000005</v>
      </c>
      <c r="M691" s="49">
        <f>ROUND((5858*$T$1),0)*1.05</f>
        <v>6150.9000000000005</v>
      </c>
      <c r="N691" s="49">
        <f>ROUND((5972*$T$1),0)*1.05</f>
        <v>6270.6</v>
      </c>
      <c r="O691" s="49">
        <f>ROUND((6041*$T$1),0)*1.05</f>
        <v>6343.05</v>
      </c>
      <c r="P691" s="49">
        <f>ROUND((6041*$T$1),0)*1.05</f>
        <v>6343.05</v>
      </c>
      <c r="Q691" s="49">
        <f>ROUND((6591*$T$1),0)*1.05</f>
        <v>6920.55</v>
      </c>
    </row>
    <row r="692" spans="1:17" ht="15" customHeight="1" x14ac:dyDescent="0.3">
      <c r="A692" s="42"/>
      <c r="B692" s="44"/>
      <c r="C692" s="44"/>
      <c r="D692" s="47"/>
      <c r="E692" s="46"/>
      <c r="F692" s="47"/>
      <c r="G692" s="46"/>
      <c r="H692" s="47"/>
      <c r="I692" s="57"/>
      <c r="J692" s="58"/>
      <c r="K692" s="58"/>
      <c r="L692" s="58"/>
      <c r="M692" s="58"/>
      <c r="N692" s="58"/>
      <c r="O692" s="58"/>
      <c r="P692" s="58"/>
      <c r="Q692" s="58"/>
    </row>
    <row r="693" spans="1:17" ht="15" customHeight="1" x14ac:dyDescent="0.3">
      <c r="A693" s="42"/>
      <c r="B693" s="126" t="s">
        <v>439</v>
      </c>
      <c r="C693" s="44"/>
      <c r="D693" s="47"/>
      <c r="E693" s="46"/>
      <c r="F693" s="47"/>
      <c r="G693" s="46"/>
      <c r="H693" s="47"/>
      <c r="I693" s="57"/>
      <c r="J693" s="58"/>
      <c r="K693" s="58"/>
      <c r="L693" s="58"/>
      <c r="M693" s="58"/>
      <c r="N693" s="58"/>
      <c r="O693" s="58"/>
      <c r="P693" s="58"/>
      <c r="Q693" s="58"/>
    </row>
    <row r="694" spans="1:17" ht="15" customHeight="1" x14ac:dyDescent="0.3">
      <c r="A694" s="42"/>
      <c r="B694" s="44"/>
      <c r="C694" s="44"/>
      <c r="D694" s="47"/>
      <c r="E694" s="46"/>
      <c r="F694" s="47"/>
      <c r="G694" s="46"/>
      <c r="H694" s="47"/>
      <c r="I694" s="48"/>
      <c r="J694" s="49"/>
      <c r="K694" s="49"/>
      <c r="L694" s="49"/>
      <c r="M694" s="49"/>
      <c r="N694" s="49"/>
      <c r="O694" s="49"/>
      <c r="P694" s="49"/>
      <c r="Q694" s="49"/>
    </row>
    <row r="695" spans="1:17" ht="15" customHeight="1" x14ac:dyDescent="0.3">
      <c r="A695" s="42"/>
      <c r="B695" s="44" t="s">
        <v>440</v>
      </c>
      <c r="C695" s="44" t="s">
        <v>45</v>
      </c>
      <c r="D695" s="47">
        <v>1.4</v>
      </c>
      <c r="E695" s="46" t="s">
        <v>47</v>
      </c>
      <c r="F695" s="47">
        <v>1.3</v>
      </c>
      <c r="G695" s="46" t="s">
        <v>48</v>
      </c>
      <c r="H695" s="47">
        <v>0.78</v>
      </c>
      <c r="I695" s="48">
        <v>14</v>
      </c>
      <c r="J695" s="49">
        <f>ROUND((4318*$T$1),0)*1.05</f>
        <v>4533.9000000000005</v>
      </c>
      <c r="K695" s="49">
        <f>ROUND((4798*$T$1),0)*1.05</f>
        <v>5037.9000000000005</v>
      </c>
      <c r="L695" s="49">
        <f>ROUND((4882*$T$1),0)*1.05</f>
        <v>5126.1000000000004</v>
      </c>
      <c r="M695" s="49">
        <f>ROUND((4980*$T$1),0)*1.05</f>
        <v>5229</v>
      </c>
      <c r="N695" s="49">
        <f>ROUND((5076*$T$1),0)*1.05</f>
        <v>5329.8</v>
      </c>
      <c r="O695" s="49">
        <f>ROUND((5135*$T$1),0)*1.05</f>
        <v>5391.75</v>
      </c>
      <c r="P695" s="49">
        <f>ROUND((5310*$T$1),0)*1.05</f>
        <v>5575.5</v>
      </c>
      <c r="Q695" s="49">
        <f>ROUND((5602*$T$1),0)*1.05</f>
        <v>5882.1</v>
      </c>
    </row>
    <row r="696" spans="1:17" ht="15" customHeight="1" x14ac:dyDescent="0.3">
      <c r="A696" s="42"/>
      <c r="B696" s="44" t="s">
        <v>441</v>
      </c>
      <c r="C696" s="44" t="s">
        <v>45</v>
      </c>
      <c r="D696" s="47">
        <v>1.3</v>
      </c>
      <c r="E696" s="46" t="s">
        <v>47</v>
      </c>
      <c r="F696" s="47">
        <v>1.3</v>
      </c>
      <c r="G696" s="46" t="s">
        <v>48</v>
      </c>
      <c r="H696" s="47">
        <v>0.78</v>
      </c>
      <c r="I696" s="48">
        <v>13.8</v>
      </c>
      <c r="J696" s="49">
        <f>ROUND((4232*$T$1),0)*1.05</f>
        <v>4443.6000000000004</v>
      </c>
      <c r="K696" s="49">
        <f>ROUND((4702*$T$1),0)*1.05</f>
        <v>4937.1000000000004</v>
      </c>
      <c r="L696" s="49">
        <f>ROUND((4784*$T$1),0)*1.05</f>
        <v>5023.2</v>
      </c>
      <c r="M696" s="49">
        <f>ROUND((4879*$T$1),0)*1.05</f>
        <v>5122.95</v>
      </c>
      <c r="N696" s="49">
        <f>ROUND((4975*$T$1),0)*1.05</f>
        <v>5223.75</v>
      </c>
      <c r="O696" s="49">
        <f>ROUND((5032*$T$1),0)*1.05</f>
        <v>5283.6</v>
      </c>
      <c r="P696" s="49">
        <f>ROUND((5204*$T$1),0)*1.05</f>
        <v>5464.2</v>
      </c>
      <c r="Q696" s="49">
        <f>ROUND((5490*$T$1),0)*1.05</f>
        <v>5764.5</v>
      </c>
    </row>
    <row r="697" spans="1:17" ht="15" customHeight="1" x14ac:dyDescent="0.3">
      <c r="A697" s="42"/>
      <c r="B697" s="44" t="s">
        <v>442</v>
      </c>
      <c r="C697" s="44" t="s">
        <v>45</v>
      </c>
      <c r="D697" s="47">
        <v>1.2</v>
      </c>
      <c r="E697" s="46" t="s">
        <v>47</v>
      </c>
      <c r="F697" s="47">
        <v>1.3</v>
      </c>
      <c r="G697" s="46" t="s">
        <v>48</v>
      </c>
      <c r="H697" s="47">
        <v>0.78</v>
      </c>
      <c r="I697" s="48">
        <v>13.6</v>
      </c>
      <c r="J697" s="49">
        <f>ROUND((4147*$T$1),0)*1.05</f>
        <v>4354.3500000000004</v>
      </c>
      <c r="K697" s="49">
        <f>ROUND((4608*$T$1),0)*1.05</f>
        <v>4838.4000000000005</v>
      </c>
      <c r="L697" s="49">
        <f>ROUND((4689*$T$1),0)*1.05</f>
        <v>4923.45</v>
      </c>
      <c r="M697" s="49">
        <f>ROUND((4783*$T$1),0)*1.05</f>
        <v>5022.1500000000005</v>
      </c>
      <c r="N697" s="49">
        <f>ROUND((4875*$T$1),0)*1.05</f>
        <v>5118.75</v>
      </c>
      <c r="O697" s="49">
        <f>ROUND((4931*$T$1),0)*1.05</f>
        <v>5177.55</v>
      </c>
      <c r="P697" s="49">
        <f>ROUND((5099*$T$1),0)*1.05</f>
        <v>5353.95</v>
      </c>
      <c r="Q697" s="49">
        <f>ROUND((5380*$T$1),0)*1.05</f>
        <v>5649</v>
      </c>
    </row>
    <row r="698" spans="1:17" ht="15" customHeight="1" x14ac:dyDescent="0.3">
      <c r="A698" s="42"/>
      <c r="B698" s="44" t="s">
        <v>443</v>
      </c>
      <c r="C698" s="44" t="s">
        <v>45</v>
      </c>
      <c r="D698" s="47">
        <v>1.1000000000000001</v>
      </c>
      <c r="E698" s="46" t="s">
        <v>47</v>
      </c>
      <c r="F698" s="47">
        <v>1.3</v>
      </c>
      <c r="G698" s="46" t="s">
        <v>48</v>
      </c>
      <c r="H698" s="47">
        <v>0.78</v>
      </c>
      <c r="I698" s="48">
        <v>13.4</v>
      </c>
      <c r="J698" s="49">
        <f>ROUND((4064*$T$1),0)*1.05</f>
        <v>4267.2</v>
      </c>
      <c r="K698" s="49">
        <f>ROUND((4516*$T$1),0)*1.05</f>
        <v>4741.8</v>
      </c>
      <c r="L698" s="49">
        <f>ROUND((4594*$T$1),0)*1.05</f>
        <v>4823.7</v>
      </c>
      <c r="M698" s="49">
        <f>ROUND((4686*$T$1),0)*1.05</f>
        <v>4920.3</v>
      </c>
      <c r="N698" s="49">
        <f>ROUND((4777*$T$1),0)*1.05</f>
        <v>5015.8500000000004</v>
      </c>
      <c r="O698" s="49">
        <f>ROUND((4832*$T$1),0)*1.05</f>
        <v>5073.6000000000004</v>
      </c>
      <c r="P698" s="49">
        <f>ROUND((4997*$T$1),0)*1.05</f>
        <v>5246.85</v>
      </c>
      <c r="Q698" s="49">
        <f>ROUND((5273*$T$1),0)*1.05</f>
        <v>5536.6500000000005</v>
      </c>
    </row>
    <row r="699" spans="1:17" ht="15" customHeight="1" x14ac:dyDescent="0.3">
      <c r="A699" s="42"/>
      <c r="B699" s="44" t="s">
        <v>444</v>
      </c>
      <c r="C699" s="44" t="s">
        <v>45</v>
      </c>
      <c r="D699" s="47">
        <v>1</v>
      </c>
      <c r="E699" s="46" t="s">
        <v>47</v>
      </c>
      <c r="F699" s="47">
        <v>1.3</v>
      </c>
      <c r="G699" s="46" t="s">
        <v>48</v>
      </c>
      <c r="H699" s="47">
        <v>0.78</v>
      </c>
      <c r="I699" s="48">
        <v>13.2</v>
      </c>
      <c r="J699" s="49">
        <f>ROUND((3982*$T$1),0)*1.05</f>
        <v>4181.1000000000004</v>
      </c>
      <c r="K699" s="49">
        <f>ROUND((4425*$T$1),0)*1.05</f>
        <v>4646.25</v>
      </c>
      <c r="L699" s="49">
        <f>ROUND((4502*$T$1),0)*1.05</f>
        <v>4727.1000000000004</v>
      </c>
      <c r="M699" s="49">
        <f>ROUND((4593*$T$1),0)*1.05</f>
        <v>4822.6500000000005</v>
      </c>
      <c r="N699" s="49">
        <f>ROUND((4692*$T$1),0)*1.05</f>
        <v>4926.6000000000004</v>
      </c>
      <c r="O699" s="49">
        <f>ROUND((4736*$T$1),0)*1.05</f>
        <v>4972.8</v>
      </c>
      <c r="P699" s="49">
        <f>ROUND((4898*$T$1),0)*1.05</f>
        <v>5142.9000000000005</v>
      </c>
      <c r="Q699" s="49">
        <f>ROUND((5167*$T$1),0)*1.05</f>
        <v>5425.35</v>
      </c>
    </row>
    <row r="700" spans="1:17" ht="15" customHeight="1" x14ac:dyDescent="0.3">
      <c r="A700" s="42"/>
      <c r="B700" s="44"/>
      <c r="C700" s="44"/>
      <c r="D700" s="47"/>
      <c r="E700" s="46"/>
      <c r="F700" s="47"/>
      <c r="G700" s="46"/>
      <c r="H700" s="47"/>
      <c r="I700" s="48"/>
      <c r="J700" s="49"/>
      <c r="K700" s="49"/>
      <c r="L700" s="49"/>
      <c r="M700" s="49"/>
      <c r="N700" s="49"/>
      <c r="O700" s="49"/>
      <c r="P700" s="49"/>
      <c r="Q700" s="49"/>
    </row>
    <row r="701" spans="1:17" ht="15" customHeight="1" x14ac:dyDescent="0.3">
      <c r="A701" s="42"/>
      <c r="B701" s="44" t="s">
        <v>445</v>
      </c>
      <c r="C701" s="44" t="s">
        <v>45</v>
      </c>
      <c r="D701" s="47">
        <v>1.3</v>
      </c>
      <c r="E701" s="46" t="s">
        <v>47</v>
      </c>
      <c r="F701" s="47">
        <v>1.3</v>
      </c>
      <c r="G701" s="46" t="s">
        <v>48</v>
      </c>
      <c r="H701" s="47">
        <v>0.78</v>
      </c>
      <c r="I701" s="48">
        <v>14</v>
      </c>
      <c r="J701" s="49">
        <f>ROUND((4318*$T$1),0)*1.05</f>
        <v>4533.9000000000005</v>
      </c>
      <c r="K701" s="49">
        <f>ROUND((4798*$T$1),0)*1.05</f>
        <v>5037.9000000000005</v>
      </c>
      <c r="L701" s="49">
        <f>ROUND((4882*$T$1),0)*1.05</f>
        <v>5126.1000000000004</v>
      </c>
      <c r="M701" s="49">
        <f>ROUND((4980*$T$1),0)*1.05</f>
        <v>5229</v>
      </c>
      <c r="N701" s="49">
        <f>ROUND((5076*$T$1),0)*1.05</f>
        <v>5329.8</v>
      </c>
      <c r="O701" s="49">
        <f>ROUND((5135*$T$1),0)*1.05</f>
        <v>5391.75</v>
      </c>
      <c r="P701" s="49">
        <f>ROUND((5310*$T$1),0)*1.05</f>
        <v>5575.5</v>
      </c>
      <c r="Q701" s="49">
        <f>ROUND((5602*$T$1),0)*1.05</f>
        <v>5882.1</v>
      </c>
    </row>
    <row r="702" spans="1:17" ht="15" customHeight="1" x14ac:dyDescent="0.3">
      <c r="A702" s="42"/>
      <c r="B702" s="44" t="s">
        <v>446</v>
      </c>
      <c r="C702" s="44" t="s">
        <v>45</v>
      </c>
      <c r="D702" s="47">
        <v>1.2</v>
      </c>
      <c r="E702" s="46" t="s">
        <v>47</v>
      </c>
      <c r="F702" s="47">
        <v>1.3</v>
      </c>
      <c r="G702" s="46" t="s">
        <v>48</v>
      </c>
      <c r="H702" s="47">
        <v>0.78</v>
      </c>
      <c r="I702" s="48">
        <v>13.8</v>
      </c>
      <c r="J702" s="49">
        <f>ROUND((4232*$T$1),0)*1.05</f>
        <v>4443.6000000000004</v>
      </c>
      <c r="K702" s="49">
        <f>ROUND((4702*$T$1),0)*1.05</f>
        <v>4937.1000000000004</v>
      </c>
      <c r="L702" s="49">
        <f>ROUND((4784*$T$1),0)*1.05</f>
        <v>5023.2</v>
      </c>
      <c r="M702" s="49">
        <f>ROUND((4879*$T$1),0)*1.05</f>
        <v>5122.95</v>
      </c>
      <c r="N702" s="49">
        <f>ROUND((4975*$T$1),0)*1.05</f>
        <v>5223.75</v>
      </c>
      <c r="O702" s="49">
        <f>ROUND((5032*$T$1),0)*1.05</f>
        <v>5283.6</v>
      </c>
      <c r="P702" s="49">
        <f>ROUND((5204*$T$1),0)*1.05</f>
        <v>5464.2</v>
      </c>
      <c r="Q702" s="49">
        <f>ROUND((5490*$T$1),0)*1.05</f>
        <v>5764.5</v>
      </c>
    </row>
    <row r="703" spans="1:17" ht="15" customHeight="1" x14ac:dyDescent="0.3">
      <c r="A703" s="42"/>
      <c r="B703" s="44" t="s">
        <v>447</v>
      </c>
      <c r="C703" s="44" t="s">
        <v>45</v>
      </c>
      <c r="D703" s="47">
        <v>1.1000000000000001</v>
      </c>
      <c r="E703" s="46" t="s">
        <v>47</v>
      </c>
      <c r="F703" s="47">
        <v>1.3</v>
      </c>
      <c r="G703" s="46" t="s">
        <v>48</v>
      </c>
      <c r="H703" s="47">
        <v>0.78</v>
      </c>
      <c r="I703" s="48">
        <v>13.6</v>
      </c>
      <c r="J703" s="49">
        <f>ROUND((4147*$T$1),0)*1.05</f>
        <v>4354.3500000000004</v>
      </c>
      <c r="K703" s="49">
        <f>ROUND((4608*$T$1),0)*1.05</f>
        <v>4838.4000000000005</v>
      </c>
      <c r="L703" s="49">
        <f>ROUND((4689*$T$1),0)*1.05</f>
        <v>4923.45</v>
      </c>
      <c r="M703" s="49">
        <f>ROUND((4783*$T$1),0)*1.05</f>
        <v>5022.1500000000005</v>
      </c>
      <c r="N703" s="49">
        <f>ROUND((4875*$T$1),0)*1.05</f>
        <v>5118.75</v>
      </c>
      <c r="O703" s="49">
        <f>ROUND((4931*$T$1),0)*1.05</f>
        <v>5177.55</v>
      </c>
      <c r="P703" s="49">
        <f>ROUND((5099*$T$1),0)*1.05</f>
        <v>5353.95</v>
      </c>
      <c r="Q703" s="49">
        <f>ROUND((5380*$T$1),0)*1.05</f>
        <v>5649</v>
      </c>
    </row>
    <row r="704" spans="1:17" ht="15" customHeight="1" x14ac:dyDescent="0.3">
      <c r="A704" s="42"/>
      <c r="B704" s="44" t="s">
        <v>448</v>
      </c>
      <c r="C704" s="44" t="s">
        <v>45</v>
      </c>
      <c r="D704" s="47">
        <v>1</v>
      </c>
      <c r="E704" s="46" t="s">
        <v>47</v>
      </c>
      <c r="F704" s="47">
        <v>1.3</v>
      </c>
      <c r="G704" s="46" t="s">
        <v>48</v>
      </c>
      <c r="H704" s="47">
        <v>0.78</v>
      </c>
      <c r="I704" s="48">
        <v>13.4</v>
      </c>
      <c r="J704" s="49">
        <f>ROUND((4064*$T$1),0)*1.05</f>
        <v>4267.2</v>
      </c>
      <c r="K704" s="49">
        <f>ROUND((4516*$T$1),0)*1.05</f>
        <v>4741.8</v>
      </c>
      <c r="L704" s="49">
        <f>ROUND((4594*$T$1),0)*1.05</f>
        <v>4823.7</v>
      </c>
      <c r="M704" s="49">
        <f>ROUND((4686*$T$1),0)*1.05</f>
        <v>4920.3</v>
      </c>
      <c r="N704" s="49">
        <f>ROUND((4777*$T$1),0)*1.05</f>
        <v>5015.8500000000004</v>
      </c>
      <c r="O704" s="49">
        <f>ROUND((4832*$T$1),0)*1.05</f>
        <v>5073.6000000000004</v>
      </c>
      <c r="P704" s="49">
        <f>ROUND((4997*$T$1),0)*1.05</f>
        <v>5246.85</v>
      </c>
      <c r="Q704" s="49">
        <f>ROUND((5273*$T$1),0)*1.05</f>
        <v>5536.6500000000005</v>
      </c>
    </row>
    <row r="705" spans="1:17" ht="15" customHeight="1" x14ac:dyDescent="0.3">
      <c r="A705" s="42"/>
      <c r="B705" s="44" t="s">
        <v>449</v>
      </c>
      <c r="C705" s="44" t="s">
        <v>45</v>
      </c>
      <c r="D705" s="47">
        <v>0.9</v>
      </c>
      <c r="E705" s="46" t="s">
        <v>47</v>
      </c>
      <c r="F705" s="47">
        <v>1.3</v>
      </c>
      <c r="G705" s="46" t="s">
        <v>48</v>
      </c>
      <c r="H705" s="47">
        <v>0.78</v>
      </c>
      <c r="I705" s="48">
        <v>13.2</v>
      </c>
      <c r="J705" s="49">
        <f>ROUND((3982*$T$1),0)*1.05</f>
        <v>4181.1000000000004</v>
      </c>
      <c r="K705" s="49">
        <f>ROUND((4425*$T$1),0)*1.05</f>
        <v>4646.25</v>
      </c>
      <c r="L705" s="49">
        <f>ROUND((4502*$T$1),0)*1.05</f>
        <v>4727.1000000000004</v>
      </c>
      <c r="M705" s="49">
        <f>ROUND((4593*$T$1),0)*1.05</f>
        <v>4822.6500000000005</v>
      </c>
      <c r="N705" s="49">
        <f>ROUND((4692*$T$1),0)*1.05</f>
        <v>4926.6000000000004</v>
      </c>
      <c r="O705" s="49">
        <f>ROUND((4736*$T$1),0)*1.05</f>
        <v>4972.8</v>
      </c>
      <c r="P705" s="49">
        <f>ROUND((4898*$T$1),0)*1.05</f>
        <v>5142.9000000000005</v>
      </c>
      <c r="Q705" s="49">
        <f>ROUND((5167*$T$1),0)*1.05</f>
        <v>5425.35</v>
      </c>
    </row>
    <row r="706" spans="1:17" ht="15" customHeight="1" x14ac:dyDescent="0.3">
      <c r="A706" s="42"/>
      <c r="B706" s="44"/>
      <c r="C706" s="44"/>
      <c r="D706" s="47"/>
      <c r="E706" s="46"/>
      <c r="F706" s="47"/>
      <c r="G706" s="46"/>
      <c r="H706" s="47"/>
      <c r="I706" s="48"/>
      <c r="J706" s="49"/>
      <c r="K706" s="49"/>
      <c r="L706" s="49"/>
      <c r="M706" s="49"/>
      <c r="N706" s="49"/>
      <c r="O706" s="49"/>
      <c r="P706" s="49"/>
      <c r="Q706" s="49"/>
    </row>
    <row r="707" spans="1:17" ht="15" customHeight="1" x14ac:dyDescent="0.3">
      <c r="A707" s="42"/>
      <c r="B707" s="44" t="s">
        <v>450</v>
      </c>
      <c r="C707" s="44" t="s">
        <v>45</v>
      </c>
      <c r="D707" s="47">
        <v>1.2</v>
      </c>
      <c r="E707" s="46" t="s">
        <v>47</v>
      </c>
      <c r="F707" s="47">
        <v>1.3</v>
      </c>
      <c r="G707" s="46" t="s">
        <v>48</v>
      </c>
      <c r="H707" s="47">
        <v>0.78</v>
      </c>
      <c r="I707" s="48">
        <v>11</v>
      </c>
      <c r="J707" s="49">
        <f>ROUND((3873*$T$1),0)*1.05</f>
        <v>4066.65</v>
      </c>
      <c r="K707" s="49">
        <f>ROUND((4303*$T$1),0)*1.05</f>
        <v>4518.1500000000005</v>
      </c>
      <c r="L707" s="49">
        <f>ROUND((4372*$T$1),0)*1.05</f>
        <v>4590.6000000000004</v>
      </c>
      <c r="M707" s="49">
        <f>ROUND((4453*$T$1),0)*1.05</f>
        <v>4675.6500000000005</v>
      </c>
      <c r="N707" s="49">
        <f>ROUND((4533*$T$1),0)*1.05</f>
        <v>4759.6500000000005</v>
      </c>
      <c r="O707" s="49">
        <f>ROUND((4580*$T$1),0)*1.05</f>
        <v>4809</v>
      </c>
      <c r="P707" s="49">
        <f>ROUND((4725*$T$1),0)*1.05</f>
        <v>4961.25</v>
      </c>
      <c r="Q707" s="49">
        <f>ROUND((4966*$T$1),0)*1.05</f>
        <v>5214.3</v>
      </c>
    </row>
    <row r="708" spans="1:17" ht="15" customHeight="1" x14ac:dyDescent="0.3">
      <c r="A708" s="42"/>
      <c r="B708" s="44" t="s">
        <v>451</v>
      </c>
      <c r="C708" s="44" t="s">
        <v>45</v>
      </c>
      <c r="D708" s="47">
        <v>1.1000000000000001</v>
      </c>
      <c r="E708" s="46" t="s">
        <v>47</v>
      </c>
      <c r="F708" s="47">
        <v>1.3</v>
      </c>
      <c r="G708" s="46" t="s">
        <v>48</v>
      </c>
      <c r="H708" s="47">
        <v>0.78</v>
      </c>
      <c r="I708" s="48">
        <v>10.8</v>
      </c>
      <c r="J708" s="49">
        <f>ROUND((3795*$T$1),0)*1.05</f>
        <v>3984.75</v>
      </c>
      <c r="K708" s="49">
        <f>ROUND((4217*$T$1),0)*1.05</f>
        <v>4427.8500000000004</v>
      </c>
      <c r="L708" s="49">
        <f>ROUND((4285*$T$1),0)*1.05</f>
        <v>4499.25</v>
      </c>
      <c r="M708" s="49">
        <f>ROUND((4364*$T$1),0)*1.05</f>
        <v>4582.2</v>
      </c>
      <c r="N708" s="49">
        <f>ROUND((4442*$T$1),0)*1.05</f>
        <v>4664.1000000000004</v>
      </c>
      <c r="O708" s="49">
        <f>ROUND((4488*$T$1),0)*1.05</f>
        <v>4712.4000000000005</v>
      </c>
      <c r="P708" s="49">
        <f>ROUND((4631*$T$1),0)*1.05</f>
        <v>4862.55</v>
      </c>
      <c r="Q708" s="49">
        <f>ROUND((4994*$T$1),0)*1.05</f>
        <v>5243.7</v>
      </c>
    </row>
    <row r="709" spans="1:17" ht="15" customHeight="1" x14ac:dyDescent="0.3">
      <c r="A709" s="42"/>
      <c r="B709" s="44" t="s">
        <v>452</v>
      </c>
      <c r="C709" s="44" t="s">
        <v>45</v>
      </c>
      <c r="D709" s="47">
        <v>1</v>
      </c>
      <c r="E709" s="46" t="s">
        <v>47</v>
      </c>
      <c r="F709" s="47">
        <v>1.3</v>
      </c>
      <c r="G709" s="46" t="s">
        <v>48</v>
      </c>
      <c r="H709" s="47">
        <v>0.78</v>
      </c>
      <c r="I709" s="48">
        <v>10.6</v>
      </c>
      <c r="J709" s="49">
        <f>ROUND((3719*$T$1),0)*1.05</f>
        <v>3904.9500000000003</v>
      </c>
      <c r="K709" s="49">
        <f>ROUND((4133*$T$1),0)*1.05</f>
        <v>4339.6500000000005</v>
      </c>
      <c r="L709" s="49">
        <f>ROUND((4199*$T$1),0)*1.05</f>
        <v>4408.95</v>
      </c>
      <c r="M709" s="49">
        <f>ROUND((4277*$T$1),0)*1.05</f>
        <v>4490.8500000000004</v>
      </c>
      <c r="N709" s="49">
        <f>ROUND((4354*$T$1),0)*1.05</f>
        <v>4571.7</v>
      </c>
      <c r="O709" s="49">
        <f>ROUND((4440*$T$1),0)*1.05</f>
        <v>4662</v>
      </c>
      <c r="P709" s="49">
        <f>ROUND((4538*$T$1),0)*1.05</f>
        <v>4764.9000000000005</v>
      </c>
      <c r="Q709" s="49">
        <f>ROUND((4769*$T$1),0)*1.05</f>
        <v>5007.45</v>
      </c>
    </row>
    <row r="710" spans="1:17" ht="15" customHeight="1" x14ac:dyDescent="0.3">
      <c r="A710" s="42"/>
      <c r="B710" s="44" t="s">
        <v>453</v>
      </c>
      <c r="C710" s="44" t="s">
        <v>45</v>
      </c>
      <c r="D710" s="47">
        <v>0.9</v>
      </c>
      <c r="E710" s="46" t="s">
        <v>47</v>
      </c>
      <c r="F710" s="47">
        <v>1.3</v>
      </c>
      <c r="G710" s="46" t="s">
        <v>48</v>
      </c>
      <c r="H710" s="47">
        <v>0.78</v>
      </c>
      <c r="I710" s="48">
        <v>10.4</v>
      </c>
      <c r="J710" s="49">
        <f>ROUND((3646*$T$1),0)*1.05</f>
        <v>3828.3</v>
      </c>
      <c r="K710" s="49">
        <f>ROUND((4050*$T$1),0)*1.05</f>
        <v>4252.5</v>
      </c>
      <c r="L710" s="49">
        <f>ROUND((4115*$T$1),0)*1.05</f>
        <v>4320.75</v>
      </c>
      <c r="M710" s="49">
        <f>ROUND((4191*$T$1),0)*1.05</f>
        <v>4400.55</v>
      </c>
      <c r="N710" s="49">
        <f>ROUND((4267*$T$1),0)*1.05</f>
        <v>4480.3500000000004</v>
      </c>
      <c r="O710" s="49">
        <f>ROUND((4311*$T$1),0)*1.05</f>
        <v>4526.55</v>
      </c>
      <c r="P710" s="49">
        <f>ROUND((4447*$T$1),0)*1.05</f>
        <v>4669.3500000000004</v>
      </c>
      <c r="Q710" s="49">
        <f>ROUND((4674*$T$1),0)*1.05</f>
        <v>4907.7</v>
      </c>
    </row>
    <row r="711" spans="1:17" ht="15" customHeight="1" x14ac:dyDescent="0.3">
      <c r="A711" s="42"/>
      <c r="B711" s="44" t="s">
        <v>454</v>
      </c>
      <c r="C711" s="44" t="s">
        <v>45</v>
      </c>
      <c r="D711" s="47">
        <v>0.8</v>
      </c>
      <c r="E711" s="46" t="s">
        <v>47</v>
      </c>
      <c r="F711" s="47">
        <v>1.3</v>
      </c>
      <c r="G711" s="46" t="s">
        <v>48</v>
      </c>
      <c r="H711" s="47">
        <v>0.78</v>
      </c>
      <c r="I711" s="48">
        <v>10.199999999999999</v>
      </c>
      <c r="J711" s="49">
        <f>ROUND((3572*$T$1),0)*1.05</f>
        <v>3750.6000000000004</v>
      </c>
      <c r="K711" s="49">
        <f>ROUND((3970*$T$1),0)*1.05</f>
        <v>4168.5</v>
      </c>
      <c r="L711" s="49">
        <f>ROUND((4033*$T$1),0)*1.05</f>
        <v>4234.6500000000005</v>
      </c>
      <c r="M711" s="49">
        <f>ROUND((4107*$T$1),0)*1.05</f>
        <v>4312.3500000000004</v>
      </c>
      <c r="N711" s="49">
        <f>ROUND((4181*$T$1),0)*1.05</f>
        <v>4390.05</v>
      </c>
      <c r="O711" s="49">
        <f>ROUND((4225*$T$1),0)*1.05</f>
        <v>4436.25</v>
      </c>
      <c r="P711" s="49">
        <f>ROUND((4359*$T$1),0)*1.05</f>
        <v>4576.95</v>
      </c>
      <c r="Q711" s="49">
        <f>ROUND((4580*$T$1),0)*1.05</f>
        <v>4809</v>
      </c>
    </row>
    <row r="712" spans="1:17" ht="15" customHeight="1" x14ac:dyDescent="0.3">
      <c r="A712" s="42"/>
      <c r="B712" s="44"/>
      <c r="C712" s="44"/>
      <c r="D712" s="47"/>
      <c r="E712" s="46"/>
      <c r="F712" s="47"/>
      <c r="G712" s="46"/>
      <c r="H712" s="47"/>
      <c r="I712" s="48"/>
      <c r="J712" s="49"/>
      <c r="K712" s="49"/>
      <c r="L712" s="49"/>
      <c r="M712" s="49"/>
      <c r="N712" s="49"/>
      <c r="O712" s="49"/>
      <c r="P712" s="49"/>
      <c r="Q712" s="49"/>
    </row>
    <row r="713" spans="1:17" ht="15" customHeight="1" x14ac:dyDescent="0.3">
      <c r="A713" s="42"/>
      <c r="B713" s="43" t="s">
        <v>184</v>
      </c>
      <c r="C713" s="44"/>
      <c r="D713" s="47"/>
      <c r="E713" s="46"/>
      <c r="F713" s="47"/>
      <c r="G713" s="46"/>
      <c r="H713" s="47"/>
      <c r="I713" s="48"/>
      <c r="J713" s="49"/>
      <c r="K713" s="49">
        <f>ROUND((1763*$T$1),0)*1.05</f>
        <v>1851.15</v>
      </c>
      <c r="L713" s="49"/>
      <c r="M713" s="49"/>
      <c r="N713" s="49"/>
      <c r="O713" s="49"/>
      <c r="P713" s="49"/>
      <c r="Q713" s="49"/>
    </row>
    <row r="714" spans="1:17" ht="15" customHeight="1" x14ac:dyDescent="0.3">
      <c r="A714" s="42"/>
      <c r="B714" s="43" t="s">
        <v>185</v>
      </c>
      <c r="C714" s="44"/>
      <c r="D714" s="47"/>
      <c r="E714" s="46"/>
      <c r="F714" s="47"/>
      <c r="G714" s="46"/>
      <c r="H714" s="47"/>
      <c r="I714" s="57"/>
      <c r="J714" s="58"/>
      <c r="K714" s="58">
        <f>ROUND((2824*$T$1),0)*1.05</f>
        <v>2965.2000000000003</v>
      </c>
      <c r="L714" s="58"/>
      <c r="M714" s="58"/>
      <c r="N714" s="58"/>
      <c r="O714" s="58"/>
      <c r="P714" s="58"/>
      <c r="Q714" s="58"/>
    </row>
    <row r="715" spans="1:17" ht="15" customHeight="1" x14ac:dyDescent="0.3">
      <c r="A715" s="42"/>
      <c r="B715" s="43" t="s">
        <v>186</v>
      </c>
      <c r="C715" s="44"/>
      <c r="D715" s="47"/>
      <c r="E715" s="46"/>
      <c r="F715" s="47"/>
      <c r="G715" s="46"/>
      <c r="H715" s="47"/>
      <c r="I715" s="48"/>
      <c r="J715" s="49"/>
      <c r="K715" s="49">
        <f>ROUND((3885*$T$1),0)*1.05</f>
        <v>4079.25</v>
      </c>
      <c r="L715" s="49"/>
      <c r="M715" s="49"/>
      <c r="N715" s="49"/>
      <c r="O715" s="49"/>
      <c r="P715" s="49"/>
      <c r="Q715" s="49"/>
    </row>
    <row r="716" spans="1:17" ht="15" customHeight="1" x14ac:dyDescent="0.3">
      <c r="A716" s="42"/>
      <c r="B716" s="43"/>
      <c r="C716" s="44"/>
      <c r="D716" s="47"/>
      <c r="E716" s="46"/>
      <c r="F716" s="47"/>
      <c r="G716" s="46"/>
      <c r="H716" s="47"/>
      <c r="I716" s="57"/>
      <c r="J716" s="58"/>
      <c r="K716" s="58"/>
      <c r="L716" s="58"/>
      <c r="M716" s="58"/>
      <c r="N716" s="58"/>
      <c r="O716" s="58"/>
      <c r="P716" s="58"/>
      <c r="Q716" s="58"/>
    </row>
    <row r="717" spans="1:17" ht="15" customHeight="1" x14ac:dyDescent="0.3">
      <c r="A717" s="42"/>
      <c r="B717" s="43" t="s">
        <v>455</v>
      </c>
      <c r="C717" s="44"/>
      <c r="D717" s="47"/>
      <c r="E717" s="46"/>
      <c r="F717" s="47"/>
      <c r="G717" s="46"/>
      <c r="H717" s="47"/>
      <c r="I717" s="48"/>
      <c r="J717" s="49"/>
      <c r="K717" s="49">
        <f>ROUND((396*$T$1),0)*1.05</f>
        <v>415.8</v>
      </c>
      <c r="L717" s="49"/>
      <c r="M717" s="49"/>
      <c r="N717" s="49"/>
      <c r="O717" s="49"/>
      <c r="P717" s="49"/>
      <c r="Q717" s="49"/>
    </row>
    <row r="718" spans="1:17" ht="15" customHeight="1" x14ac:dyDescent="0.3">
      <c r="A718" s="42"/>
      <c r="B718" s="43" t="s">
        <v>456</v>
      </c>
      <c r="C718" s="44"/>
      <c r="D718" s="47"/>
      <c r="E718" s="46"/>
      <c r="F718" s="47"/>
      <c r="G718" s="46"/>
      <c r="H718" s="47"/>
      <c r="I718" s="48"/>
      <c r="J718" s="49"/>
      <c r="K718" s="49">
        <f>ROUND((451*$T$1),0)*1.05</f>
        <v>473.55</v>
      </c>
      <c r="L718" s="49"/>
      <c r="M718" s="49"/>
      <c r="N718" s="49"/>
      <c r="O718" s="49"/>
      <c r="P718" s="49"/>
      <c r="Q718" s="49"/>
    </row>
    <row r="719" spans="1:17" ht="15" customHeight="1" x14ac:dyDescent="0.3">
      <c r="A719" s="42"/>
      <c r="B719" s="43"/>
      <c r="C719" s="44"/>
      <c r="D719" s="47"/>
      <c r="E719" s="46"/>
      <c r="F719" s="47"/>
      <c r="G719" s="46"/>
      <c r="H719" s="57"/>
      <c r="I719" s="48"/>
      <c r="J719" s="49"/>
      <c r="K719" s="49"/>
      <c r="L719" s="49"/>
      <c r="M719" s="49"/>
      <c r="N719" s="49"/>
      <c r="O719" s="49"/>
      <c r="P719" s="49"/>
      <c r="Q719" s="49"/>
    </row>
    <row r="720" spans="1:17" ht="15" customHeight="1" x14ac:dyDescent="0.3">
      <c r="A720" s="42"/>
      <c r="B720" s="51" t="s">
        <v>187</v>
      </c>
      <c r="C720" s="44"/>
      <c r="D720" s="47"/>
      <c r="E720" s="46"/>
      <c r="F720" s="47"/>
      <c r="G720" s="46"/>
      <c r="H720" s="57"/>
      <c r="I720" s="48"/>
      <c r="J720" s="49"/>
      <c r="K720" s="49">
        <f>ROUND((220*$T$1),0)*1.05</f>
        <v>231</v>
      </c>
      <c r="L720" s="49"/>
      <c r="M720" s="49"/>
      <c r="N720" s="49"/>
      <c r="O720" s="49"/>
      <c r="P720" s="49"/>
      <c r="Q720" s="49"/>
    </row>
    <row r="721" spans="1:17" ht="15" customHeight="1" x14ac:dyDescent="0.3">
      <c r="A721" s="42"/>
      <c r="B721" s="51" t="s">
        <v>188</v>
      </c>
      <c r="C721" s="44"/>
      <c r="D721" s="47"/>
      <c r="E721" s="46"/>
      <c r="F721" s="47"/>
      <c r="G721" s="46"/>
      <c r="H721" s="57"/>
      <c r="I721" s="48"/>
      <c r="J721" s="49"/>
      <c r="K721" s="49">
        <f>ROUND((132*$T$1),0)*1.05</f>
        <v>138.6</v>
      </c>
      <c r="L721" s="49"/>
      <c r="M721" s="49"/>
      <c r="N721" s="49"/>
      <c r="O721" s="49"/>
      <c r="P721" s="49"/>
      <c r="Q721" s="49"/>
    </row>
    <row r="722" spans="1:17" ht="15" customHeight="1" x14ac:dyDescent="0.3">
      <c r="A722" s="42"/>
      <c r="B722" s="51" t="s">
        <v>189</v>
      </c>
      <c r="C722" s="44"/>
      <c r="D722" s="47"/>
      <c r="E722" s="46"/>
      <c r="F722" s="47"/>
      <c r="G722" s="46"/>
      <c r="H722" s="57"/>
      <c r="I722" s="48"/>
      <c r="J722" s="49"/>
      <c r="K722" s="49">
        <f>ROUND((132*$T$1),0)*1.05</f>
        <v>138.6</v>
      </c>
      <c r="L722" s="49"/>
      <c r="M722" s="49"/>
      <c r="N722" s="49"/>
      <c r="O722" s="49"/>
      <c r="P722" s="49"/>
      <c r="Q722" s="49"/>
    </row>
    <row r="723" spans="1:17" ht="15" customHeight="1" x14ac:dyDescent="0.3">
      <c r="A723" s="42"/>
      <c r="B723" s="44"/>
      <c r="C723" s="44"/>
      <c r="D723" s="47"/>
      <c r="E723" s="46"/>
      <c r="F723" s="47"/>
      <c r="G723" s="46"/>
      <c r="H723" s="47"/>
      <c r="I723" s="48"/>
      <c r="J723" s="49"/>
      <c r="K723" s="49"/>
      <c r="L723" s="49"/>
      <c r="M723" s="49"/>
      <c r="N723" s="49"/>
      <c r="O723" s="49"/>
      <c r="P723" s="49"/>
      <c r="Q723" s="49"/>
    </row>
    <row r="724" spans="1:17" ht="15" customHeight="1" x14ac:dyDescent="0.3">
      <c r="A724" s="113"/>
      <c r="B724" s="118" t="s">
        <v>190</v>
      </c>
      <c r="C724" s="129"/>
      <c r="D724" s="130"/>
      <c r="E724" s="131"/>
      <c r="F724" s="130"/>
      <c r="G724" s="131"/>
      <c r="H724" s="130"/>
      <c r="I724" s="132"/>
      <c r="J724" s="133"/>
      <c r="K724" s="133"/>
      <c r="L724" s="133"/>
      <c r="M724" s="87" t="s">
        <v>134</v>
      </c>
      <c r="N724" s="133"/>
      <c r="O724" s="133"/>
      <c r="P724" s="133"/>
      <c r="Q724" s="133"/>
    </row>
    <row r="725" spans="1:17" ht="15" customHeight="1" x14ac:dyDescent="0.3">
      <c r="A725" s="113"/>
      <c r="B725" s="134"/>
      <c r="C725" s="59" t="s">
        <v>457</v>
      </c>
      <c r="D725" s="59"/>
      <c r="E725" s="135"/>
      <c r="F725" s="135"/>
      <c r="G725" s="135"/>
      <c r="H725" s="135"/>
      <c r="I725" s="136"/>
      <c r="J725" s="137"/>
      <c r="K725" s="137"/>
      <c r="L725" s="137"/>
      <c r="M725" s="62"/>
      <c r="N725" s="137"/>
      <c r="O725" s="137"/>
      <c r="P725" s="137"/>
      <c r="Q725" s="137"/>
    </row>
    <row r="726" spans="1:17" ht="15" customHeight="1" x14ac:dyDescent="0.3">
      <c r="A726" s="63"/>
      <c r="B726" s="63"/>
      <c r="C726" s="64"/>
      <c r="D726" s="63"/>
      <c r="E726" s="63"/>
      <c r="F726" s="63"/>
      <c r="G726" s="63"/>
      <c r="H726" s="63"/>
      <c r="I726" s="48"/>
      <c r="J726" s="49"/>
      <c r="K726" s="49"/>
      <c r="L726" s="49"/>
      <c r="M726" s="49"/>
      <c r="N726" s="49"/>
      <c r="O726" s="49"/>
      <c r="P726" s="49"/>
      <c r="Q726" s="49"/>
    </row>
    <row r="727" spans="1:17" ht="29.1" customHeight="1" x14ac:dyDescent="0.25">
      <c r="A727" s="127" t="s">
        <v>458</v>
      </c>
      <c r="B727" s="77"/>
      <c r="C727" s="187" t="s">
        <v>41</v>
      </c>
      <c r="D727" s="187"/>
      <c r="E727" s="187"/>
      <c r="F727" s="187"/>
      <c r="G727" s="187"/>
      <c r="H727" s="187"/>
      <c r="I727" s="78" t="s">
        <v>42</v>
      </c>
      <c r="J727" s="41" t="s">
        <v>43</v>
      </c>
      <c r="K727" s="41">
        <v>1000</v>
      </c>
      <c r="L727" s="41">
        <v>2000</v>
      </c>
      <c r="M727" s="41">
        <v>3000</v>
      </c>
      <c r="N727" s="41">
        <v>4000</v>
      </c>
      <c r="O727" s="41">
        <v>5000</v>
      </c>
      <c r="P727" s="41">
        <v>6000</v>
      </c>
      <c r="Q727" s="41">
        <v>7000</v>
      </c>
    </row>
    <row r="728" spans="1:17" ht="15" customHeight="1" x14ac:dyDescent="0.3">
      <c r="A728" s="42"/>
      <c r="B728" s="43" t="s">
        <v>459</v>
      </c>
      <c r="C728" s="44" t="s">
        <v>45</v>
      </c>
      <c r="D728" s="47">
        <v>2.7</v>
      </c>
      <c r="E728" s="46" t="s">
        <v>47</v>
      </c>
      <c r="F728" s="47">
        <v>0.98</v>
      </c>
      <c r="G728" s="46" t="s">
        <v>48</v>
      </c>
      <c r="H728" s="47">
        <v>0.9</v>
      </c>
      <c r="I728" s="48">
        <v>11.6</v>
      </c>
      <c r="J728" s="49">
        <f>ROUND((4985*$T$1),0)*1.05</f>
        <v>5234.25</v>
      </c>
      <c r="K728" s="49">
        <f>ROUND((5540*$T$1),0)*1.05</f>
        <v>5817</v>
      </c>
      <c r="L728" s="49">
        <f>ROUND((5614*$T$1),0)*1.05</f>
        <v>5894.7</v>
      </c>
      <c r="M728" s="49">
        <f>ROUND((5701*$T$1),0)*1.05</f>
        <v>5986.05</v>
      </c>
      <c r="N728" s="49">
        <f>ROUND((5788*$T$1),0)*1.05</f>
        <v>6077.4000000000005</v>
      </c>
      <c r="O728" s="49">
        <f>ROUND((5840*$T$1),0)*1.05</f>
        <v>6132</v>
      </c>
      <c r="P728" s="49">
        <f>ROUND((5996*$T$1),0)*1.05</f>
        <v>6295.8</v>
      </c>
      <c r="Q728" s="49">
        <f>ROUND((6255*$T$1),0)*1.05</f>
        <v>6567.75</v>
      </c>
    </row>
    <row r="729" spans="1:17" ht="15" customHeight="1" x14ac:dyDescent="0.3">
      <c r="A729" s="42"/>
      <c r="B729" s="43" t="s">
        <v>460</v>
      </c>
      <c r="C729" s="44" t="s">
        <v>45</v>
      </c>
      <c r="D729" s="47">
        <v>2.5</v>
      </c>
      <c r="E729" s="46" t="s">
        <v>47</v>
      </c>
      <c r="F729" s="47">
        <v>0.98</v>
      </c>
      <c r="G729" s="46" t="s">
        <v>48</v>
      </c>
      <c r="H729" s="47">
        <v>0.9</v>
      </c>
      <c r="I729" s="48">
        <v>11</v>
      </c>
      <c r="J729" s="49">
        <f>ROUND((4736*$T$1),0)*1.05</f>
        <v>4972.8</v>
      </c>
      <c r="K729" s="49">
        <f>ROUND((5562*$T$1),0)*1.05</f>
        <v>5840.1</v>
      </c>
      <c r="L729" s="49">
        <f>ROUND((5334*$T$1),0)*1.05</f>
        <v>5600.7</v>
      </c>
      <c r="M729" s="49">
        <f>ROUND((5415*$T$1),0)*1.05</f>
        <v>5685.75</v>
      </c>
      <c r="N729" s="49">
        <f>ROUND((5498*$T$1),0)*1.05</f>
        <v>5772.9000000000005</v>
      </c>
      <c r="O729" s="49">
        <f>ROUND((5548*$T$1),0)*1.05</f>
        <v>5825.4000000000005</v>
      </c>
      <c r="P729" s="49">
        <f>ROUND((5696*$T$1),0)*1.05</f>
        <v>5980.8</v>
      </c>
      <c r="Q729" s="49">
        <f>ROUND((5942*$T$1),0)*1.05</f>
        <v>6239.1</v>
      </c>
    </row>
    <row r="730" spans="1:17" ht="15" customHeight="1" x14ac:dyDescent="0.3">
      <c r="A730" s="42"/>
      <c r="B730" s="43" t="s">
        <v>461</v>
      </c>
      <c r="C730" s="44" t="s">
        <v>45</v>
      </c>
      <c r="D730" s="47">
        <v>2.2999999999999998</v>
      </c>
      <c r="E730" s="46" t="s">
        <v>47</v>
      </c>
      <c r="F730" s="47">
        <v>0.98</v>
      </c>
      <c r="G730" s="46" t="s">
        <v>48</v>
      </c>
      <c r="H730" s="47">
        <v>0.9</v>
      </c>
      <c r="I730" s="48">
        <v>10.5</v>
      </c>
      <c r="J730" s="49">
        <f>ROUND((4499*$T$1),0)*1.05</f>
        <v>4723.95</v>
      </c>
      <c r="K730" s="49">
        <f>ROUND((4999*$T$1),0)*1.05</f>
        <v>5248.95</v>
      </c>
      <c r="L730" s="49">
        <f>ROUND((5067*$T$1),0)*1.05</f>
        <v>5320.35</v>
      </c>
      <c r="M730" s="49">
        <f>ROUND((5145*$T$1),0)*1.05</f>
        <v>5402.25</v>
      </c>
      <c r="N730" s="49">
        <f>ROUND((5223*$T$1),0)*1.05</f>
        <v>5484.1500000000005</v>
      </c>
      <c r="O730" s="49">
        <f>ROUND((5270*$T$1),0)*1.05</f>
        <v>5533.5</v>
      </c>
      <c r="P730" s="49">
        <f>ROUND((5411*$T$1),0)*1.05</f>
        <v>5681.55</v>
      </c>
      <c r="Q730" s="49">
        <f>ROUND((5645*$T$1),0)*1.05</f>
        <v>5927.25</v>
      </c>
    </row>
    <row r="731" spans="1:17" ht="15" customHeight="1" x14ac:dyDescent="0.3">
      <c r="A731" s="42"/>
      <c r="B731" s="43" t="s">
        <v>462</v>
      </c>
      <c r="C731" s="44" t="s">
        <v>45</v>
      </c>
      <c r="D731" s="47">
        <v>2.1</v>
      </c>
      <c r="E731" s="46" t="s">
        <v>47</v>
      </c>
      <c r="F731" s="47">
        <v>0.98</v>
      </c>
      <c r="G731" s="46" t="s">
        <v>48</v>
      </c>
      <c r="H731" s="47">
        <v>0.9</v>
      </c>
      <c r="I731" s="48">
        <v>10</v>
      </c>
      <c r="J731" s="49">
        <f>ROUND((4275*$T$1),0)*1.05</f>
        <v>4488.75</v>
      </c>
      <c r="K731" s="49">
        <f>ROUND((4750*$T$1),0)*1.05</f>
        <v>4987.5</v>
      </c>
      <c r="L731" s="49">
        <f>ROUND((4814*$T$1),0)*1.05</f>
        <v>5054.7</v>
      </c>
      <c r="M731" s="49">
        <f>ROUND((4888*$T$1),0)*1.05</f>
        <v>5132.4000000000005</v>
      </c>
      <c r="N731" s="49">
        <f>ROUND((4962*$T$1),0)*1.05</f>
        <v>5210.1000000000004</v>
      </c>
      <c r="O731" s="49">
        <f>ROUND((5007*$T$1),0)*1.05</f>
        <v>5257.35</v>
      </c>
      <c r="P731" s="49">
        <f>ROUND((5141*$T$1),0)*1.05</f>
        <v>5398.05</v>
      </c>
      <c r="Q731" s="49">
        <f>ROUND((5362*$T$1),0)*1.05</f>
        <v>5630.1</v>
      </c>
    </row>
    <row r="732" spans="1:17" ht="15" customHeight="1" x14ac:dyDescent="0.3">
      <c r="A732" s="42"/>
      <c r="B732" s="43"/>
      <c r="C732" s="44"/>
      <c r="D732" s="47"/>
      <c r="E732" s="46"/>
      <c r="F732" s="47"/>
      <c r="G732" s="46"/>
      <c r="H732" s="47"/>
      <c r="I732" s="48"/>
      <c r="J732" s="49"/>
      <c r="K732" s="49"/>
      <c r="L732" s="49"/>
      <c r="M732" s="49"/>
      <c r="N732" s="49"/>
      <c r="O732" s="49"/>
      <c r="P732" s="49"/>
      <c r="Q732" s="49"/>
    </row>
    <row r="733" spans="1:17" ht="15" customHeight="1" x14ac:dyDescent="0.3">
      <c r="A733" s="42"/>
      <c r="B733" s="43"/>
      <c r="C733" s="44"/>
      <c r="D733" s="47"/>
      <c r="E733" s="46"/>
      <c r="F733" s="47"/>
      <c r="G733" s="46"/>
      <c r="H733" s="47"/>
      <c r="I733" s="48"/>
      <c r="J733" s="49"/>
      <c r="K733" s="49"/>
      <c r="L733" s="49"/>
      <c r="M733" s="49"/>
      <c r="N733" s="49"/>
      <c r="O733" s="49"/>
      <c r="P733" s="49"/>
      <c r="Q733" s="49"/>
    </row>
    <row r="734" spans="1:17" ht="15" customHeight="1" x14ac:dyDescent="0.3">
      <c r="A734" s="42"/>
      <c r="B734" s="44"/>
      <c r="C734" s="44"/>
      <c r="D734" s="47"/>
      <c r="E734" s="46"/>
      <c r="F734" s="47"/>
      <c r="G734" s="46"/>
      <c r="H734" s="47"/>
      <c r="I734" s="57"/>
      <c r="J734" s="58"/>
      <c r="K734" s="58"/>
      <c r="L734" s="58"/>
      <c r="M734" s="58"/>
      <c r="N734" s="58"/>
      <c r="O734" s="58"/>
      <c r="P734" s="58"/>
      <c r="Q734" s="58"/>
    </row>
    <row r="735" spans="1:17" ht="15" customHeight="1" x14ac:dyDescent="0.3">
      <c r="A735" s="42"/>
      <c r="B735" s="86"/>
      <c r="C735" s="119"/>
      <c r="D735" s="86"/>
      <c r="E735" s="86"/>
      <c r="F735" s="86"/>
      <c r="G735" s="86"/>
      <c r="H735" s="86"/>
      <c r="I735" s="55"/>
      <c r="J735" s="56"/>
      <c r="K735" s="56"/>
      <c r="L735" s="56"/>
      <c r="M735" s="56"/>
      <c r="N735" s="56"/>
      <c r="O735" s="56"/>
      <c r="P735" s="56"/>
      <c r="Q735" s="56"/>
    </row>
    <row r="736" spans="1:17" ht="15" customHeight="1" x14ac:dyDescent="0.3">
      <c r="A736" s="42"/>
      <c r="B736" s="86"/>
      <c r="C736" s="119"/>
      <c r="D736" s="86"/>
      <c r="E736" s="86"/>
      <c r="F736" s="86"/>
      <c r="G736" s="86"/>
      <c r="H736" s="86"/>
      <c r="I736" s="55"/>
      <c r="J736" s="56"/>
      <c r="K736" s="56"/>
      <c r="L736" s="56"/>
      <c r="M736" s="87" t="s">
        <v>134</v>
      </c>
      <c r="N736" s="56"/>
      <c r="O736" s="56"/>
      <c r="P736" s="56"/>
      <c r="Q736" s="56"/>
    </row>
    <row r="737" spans="1:17" ht="15" customHeight="1" x14ac:dyDescent="0.3">
      <c r="A737" s="42"/>
      <c r="B737" s="59" t="s">
        <v>463</v>
      </c>
      <c r="C737" s="60"/>
      <c r="D737" s="59"/>
      <c r="E737" s="59"/>
      <c r="F737" s="59"/>
      <c r="G737" s="59"/>
      <c r="H737" s="59"/>
      <c r="I737" s="61"/>
      <c r="J737" s="62"/>
      <c r="K737" s="62"/>
      <c r="L737" s="62"/>
      <c r="M737" s="62"/>
      <c r="N737" s="62"/>
      <c r="O737" s="62"/>
      <c r="P737" s="62"/>
      <c r="Q737" s="62"/>
    </row>
    <row r="738" spans="1:17" ht="15" customHeight="1" x14ac:dyDescent="0.3">
      <c r="A738" s="42"/>
      <c r="B738" s="63"/>
      <c r="C738" s="64"/>
      <c r="D738" s="65"/>
      <c r="E738" s="49"/>
      <c r="F738" s="66"/>
      <c r="G738" s="48"/>
      <c r="H738" s="66"/>
      <c r="I738" s="48"/>
      <c r="J738" s="49"/>
      <c r="K738" s="49"/>
      <c r="L738" s="49"/>
      <c r="M738" s="49"/>
      <c r="N738" s="49"/>
      <c r="O738" s="49"/>
      <c r="P738" s="49"/>
      <c r="Q738" s="49"/>
    </row>
    <row r="739" spans="1:17" ht="29.1" customHeight="1" x14ac:dyDescent="0.25">
      <c r="A739" s="127" t="s">
        <v>464</v>
      </c>
      <c r="B739" s="77"/>
      <c r="C739" s="187" t="s">
        <v>41</v>
      </c>
      <c r="D739" s="187"/>
      <c r="E739" s="187"/>
      <c r="F739" s="187"/>
      <c r="G739" s="187"/>
      <c r="H739" s="187"/>
      <c r="I739" s="78" t="s">
        <v>42</v>
      </c>
      <c r="J739" s="41" t="s">
        <v>43</v>
      </c>
      <c r="K739" s="41">
        <v>1000</v>
      </c>
      <c r="L739" s="41">
        <v>2000</v>
      </c>
      <c r="M739" s="41">
        <v>3000</v>
      </c>
      <c r="N739" s="41">
        <v>4000</v>
      </c>
      <c r="O739" s="41">
        <v>5000</v>
      </c>
      <c r="P739" s="41">
        <v>6000</v>
      </c>
      <c r="Q739" s="41">
        <v>7000</v>
      </c>
    </row>
    <row r="740" spans="1:17" ht="15" customHeight="1" x14ac:dyDescent="0.3">
      <c r="A740" s="42"/>
      <c r="B740" s="43" t="s">
        <v>465</v>
      </c>
      <c r="C740" s="44" t="s">
        <v>45</v>
      </c>
      <c r="D740" s="45" t="s">
        <v>466</v>
      </c>
      <c r="E740" s="46" t="s">
        <v>47</v>
      </c>
      <c r="F740" s="47">
        <v>0.57999999999999996</v>
      </c>
      <c r="G740" s="46" t="s">
        <v>48</v>
      </c>
      <c r="H740" s="47">
        <v>0.64</v>
      </c>
      <c r="I740" s="57">
        <v>7</v>
      </c>
      <c r="J740" s="58">
        <f>ROUND((2583*$T$1),0)*1.05</f>
        <v>2712.15</v>
      </c>
      <c r="K740" s="58">
        <f>ROUND((2870*$T$1),0)*1.05</f>
        <v>3013.5</v>
      </c>
      <c r="L740" s="58">
        <f>ROUND((2889*$T$1),0)*1.05</f>
        <v>3033.4500000000003</v>
      </c>
      <c r="M740" s="58">
        <f>ROUND((2908*$T$1),0)*1.05</f>
        <v>3053.4</v>
      </c>
      <c r="N740" s="58">
        <f>ROUND((2928*$T$1),0)*1.05</f>
        <v>3074.4</v>
      </c>
      <c r="O740" s="58">
        <f>ROUND((2941*$T$1),0)*1.05</f>
        <v>3088.05</v>
      </c>
      <c r="P740" s="58">
        <f>ROUND((2977*$T$1),0)*1.05</f>
        <v>3125.85</v>
      </c>
      <c r="Q740" s="58">
        <f>ROUND((3037*$T$1),0)*1.05</f>
        <v>3188.85</v>
      </c>
    </row>
    <row r="741" spans="1:17" ht="15" customHeight="1" x14ac:dyDescent="0.3">
      <c r="A741" s="42"/>
      <c r="B741" s="43" t="s">
        <v>467</v>
      </c>
      <c r="C741" s="44" t="s">
        <v>45</v>
      </c>
      <c r="D741" s="45" t="s">
        <v>468</v>
      </c>
      <c r="E741" s="46" t="s">
        <v>47</v>
      </c>
      <c r="F741" s="47">
        <v>0.57999999999999996</v>
      </c>
      <c r="G741" s="46" t="s">
        <v>48</v>
      </c>
      <c r="H741" s="47">
        <v>0.64</v>
      </c>
      <c r="I741" s="57">
        <v>6.8</v>
      </c>
      <c r="J741" s="58">
        <f>ROUND((2481*$T$1),0)*1.05</f>
        <v>2605.0500000000002</v>
      </c>
      <c r="K741" s="58">
        <f>ROUND((2755*$T$1),0)*1.05</f>
        <v>2892.75</v>
      </c>
      <c r="L741" s="58">
        <f>ROUND((2774*$T$1),0)*1.05</f>
        <v>2912.7000000000003</v>
      </c>
      <c r="M741" s="58">
        <f>ROUND((2792*$T$1),0)*1.05</f>
        <v>2931.6</v>
      </c>
      <c r="N741" s="58">
        <f>ROUND((2811*$T$1),0)*1.05</f>
        <v>2951.55</v>
      </c>
      <c r="O741" s="58">
        <f>ROUND((2823*$T$1),0)*1.05</f>
        <v>2964.15</v>
      </c>
      <c r="P741" s="58">
        <f>ROUND((2858*$T$1),0)*1.05</f>
        <v>3000.9</v>
      </c>
      <c r="Q741" s="58">
        <f>ROUND((2915*$T$1),0)*1.05</f>
        <v>3060.75</v>
      </c>
    </row>
    <row r="742" spans="1:17" ht="15" customHeight="1" x14ac:dyDescent="0.3">
      <c r="A742" s="42"/>
      <c r="B742" s="43"/>
      <c r="C742" s="44"/>
      <c r="D742" s="45"/>
      <c r="E742" s="46"/>
      <c r="F742" s="47"/>
      <c r="G742" s="46"/>
      <c r="H742" s="47"/>
      <c r="I742" s="48"/>
      <c r="J742" s="49"/>
      <c r="K742" s="49"/>
      <c r="L742" s="49"/>
      <c r="M742" s="49"/>
      <c r="N742" s="49"/>
      <c r="O742" s="49"/>
      <c r="P742" s="49"/>
      <c r="Q742" s="49"/>
    </row>
    <row r="743" spans="1:17" ht="15" customHeight="1" x14ac:dyDescent="0.3">
      <c r="A743" s="42"/>
      <c r="B743" s="43" t="s">
        <v>469</v>
      </c>
      <c r="C743" s="44" t="s">
        <v>45</v>
      </c>
      <c r="D743" s="45" t="s">
        <v>466</v>
      </c>
      <c r="E743" s="46" t="s">
        <v>47</v>
      </c>
      <c r="F743" s="47">
        <v>0.57999999999999996</v>
      </c>
      <c r="G743" s="46" t="s">
        <v>48</v>
      </c>
      <c r="H743" s="47">
        <v>0.64</v>
      </c>
      <c r="I743" s="57">
        <v>5</v>
      </c>
      <c r="J743" s="58">
        <f>ROUND((1952*$T$1),0)*1.05</f>
        <v>2049.6</v>
      </c>
      <c r="K743" s="58">
        <f>ROUND((2169*$T$1),0)*1.05</f>
        <v>2277.4500000000003</v>
      </c>
      <c r="L743" s="58">
        <f>ROUND((2198*$T$1),0)*1.05</f>
        <v>2307.9</v>
      </c>
      <c r="M743" s="58">
        <f>ROUND((2331*$T$1),0)*1.05</f>
        <v>2447.5500000000002</v>
      </c>
      <c r="N743" s="58">
        <f>ROUND((2263*$T$1),0)*1.05</f>
        <v>2376.15</v>
      </c>
      <c r="O743" s="58">
        <f>ROUND((2284*$T$1),0)*1.05</f>
        <v>2398.2000000000003</v>
      </c>
      <c r="P743" s="58">
        <f>ROUND((2343*$T$1),0)*1.05</f>
        <v>2460.15</v>
      </c>
      <c r="Q743" s="58">
        <f>ROUND((2441*$T$1),0)*1.05</f>
        <v>2563.0500000000002</v>
      </c>
    </row>
    <row r="744" spans="1:17" ht="15" customHeight="1" x14ac:dyDescent="0.3">
      <c r="A744" s="42"/>
      <c r="B744" s="43" t="s">
        <v>470</v>
      </c>
      <c r="C744" s="44" t="s">
        <v>45</v>
      </c>
      <c r="D744" s="45" t="s">
        <v>468</v>
      </c>
      <c r="E744" s="46" t="s">
        <v>47</v>
      </c>
      <c r="F744" s="47">
        <v>0.57999999999999996</v>
      </c>
      <c r="G744" s="46" t="s">
        <v>48</v>
      </c>
      <c r="H744" s="47">
        <v>0.64</v>
      </c>
      <c r="I744" s="57">
        <v>5</v>
      </c>
      <c r="J744" s="58">
        <f>ROUND((1878*$T$1),0)*1.05</f>
        <v>1971.9</v>
      </c>
      <c r="K744" s="58">
        <f>ROUND((2086*$T$1),0)*1.05</f>
        <v>2190.3000000000002</v>
      </c>
      <c r="L744" s="58">
        <f>ROUND((2114*$T$1),0)*1.05</f>
        <v>2219.7000000000003</v>
      </c>
      <c r="M744" s="58">
        <f>ROUND((2145*$T$1),0)*1.05</f>
        <v>2252.25</v>
      </c>
      <c r="N744" s="58">
        <f>ROUND((2176*$T$1),0)*1.05</f>
        <v>2284.8000000000002</v>
      </c>
      <c r="O744" s="58">
        <f>ROUND((2194*$T$1),0)*1.05</f>
        <v>2303.7000000000003</v>
      </c>
      <c r="P744" s="58">
        <f>ROUND((2251*$T$1),0)*1.05</f>
        <v>2363.5500000000002</v>
      </c>
      <c r="Q744" s="58">
        <f>ROUND((2344*$T$1),0)*1.05</f>
        <v>2461.2000000000003</v>
      </c>
    </row>
    <row r="745" spans="1:17" ht="15" customHeight="1" x14ac:dyDescent="0.3">
      <c r="A745" s="42"/>
      <c r="B745" s="43"/>
      <c r="C745" s="63"/>
      <c r="D745" s="63"/>
      <c r="E745" s="63"/>
      <c r="F745" s="63"/>
      <c r="G745" s="63"/>
      <c r="H745" s="63"/>
      <c r="I745" s="63"/>
      <c r="J745" s="82"/>
      <c r="K745" s="82"/>
      <c r="L745" s="82"/>
      <c r="M745" s="82"/>
      <c r="N745" s="82"/>
      <c r="O745" s="82"/>
      <c r="P745" s="82"/>
      <c r="Q745" s="82"/>
    </row>
    <row r="746" spans="1:17" ht="15" customHeight="1" x14ac:dyDescent="0.3">
      <c r="A746" s="42"/>
      <c r="B746" s="44"/>
      <c r="C746" s="44"/>
      <c r="D746" s="47"/>
      <c r="E746" s="46"/>
      <c r="F746" s="47"/>
      <c r="G746" s="46"/>
      <c r="H746" s="47"/>
      <c r="I746" s="57"/>
      <c r="J746" s="58"/>
      <c r="K746" s="58"/>
      <c r="L746" s="58"/>
      <c r="M746" s="58"/>
      <c r="N746" s="58"/>
      <c r="O746" s="58"/>
      <c r="P746" s="58"/>
      <c r="Q746" s="58"/>
    </row>
    <row r="747" spans="1:17" ht="15" customHeight="1" x14ac:dyDescent="0.3">
      <c r="A747" s="42"/>
      <c r="B747" s="44"/>
      <c r="C747" s="44"/>
      <c r="D747" s="47"/>
      <c r="E747" s="46"/>
      <c r="F747" s="47"/>
      <c r="G747" s="46"/>
      <c r="H747" s="47"/>
      <c r="I747" s="57"/>
      <c r="J747" s="58"/>
      <c r="K747" s="58"/>
      <c r="L747" s="58"/>
      <c r="M747" s="87" t="s">
        <v>134</v>
      </c>
      <c r="N747" s="58"/>
      <c r="O747" s="58"/>
      <c r="P747" s="58"/>
      <c r="Q747" s="58"/>
    </row>
    <row r="748" spans="1:17" ht="15" customHeight="1" x14ac:dyDescent="0.3">
      <c r="A748" s="42"/>
      <c r="B748" s="59" t="s">
        <v>471</v>
      </c>
      <c r="C748" s="60"/>
      <c r="D748" s="59"/>
      <c r="E748" s="59"/>
      <c r="F748" s="59"/>
      <c r="G748" s="59"/>
      <c r="H748" s="59"/>
      <c r="I748" s="61"/>
      <c r="J748" s="62"/>
      <c r="K748" s="62"/>
      <c r="L748" s="62"/>
      <c r="M748" s="62"/>
      <c r="N748" s="62"/>
      <c r="O748" s="62"/>
      <c r="P748" s="62"/>
      <c r="Q748" s="62"/>
    </row>
    <row r="749" spans="1:17" ht="15" customHeight="1" x14ac:dyDescent="0.3">
      <c r="A749" s="113"/>
      <c r="B749" s="114"/>
      <c r="C749" s="138"/>
      <c r="D749" s="116"/>
      <c r="E749" s="75"/>
      <c r="F749" s="117"/>
      <c r="G749" s="74"/>
      <c r="H749" s="117"/>
      <c r="I749" s="74"/>
      <c r="J749" s="75"/>
      <c r="K749" s="75"/>
      <c r="L749" s="75"/>
      <c r="M749" s="75"/>
      <c r="N749" s="75"/>
      <c r="O749" s="75"/>
      <c r="P749" s="75"/>
      <c r="Q749" s="75"/>
    </row>
    <row r="750" spans="1:17" ht="29.1" customHeight="1" x14ac:dyDescent="0.25">
      <c r="A750" s="127" t="s">
        <v>472</v>
      </c>
      <c r="B750" s="77"/>
      <c r="C750" s="187" t="s">
        <v>41</v>
      </c>
      <c r="D750" s="187"/>
      <c r="E750" s="187"/>
      <c r="F750" s="187"/>
      <c r="G750" s="187"/>
      <c r="H750" s="187"/>
      <c r="I750" s="78" t="s">
        <v>42</v>
      </c>
      <c r="J750" s="41" t="s">
        <v>43</v>
      </c>
      <c r="K750" s="41">
        <v>1000</v>
      </c>
      <c r="L750" s="41">
        <v>2000</v>
      </c>
      <c r="M750" s="41">
        <v>3000</v>
      </c>
      <c r="N750" s="41">
        <v>4000</v>
      </c>
      <c r="O750" s="41">
        <v>5000</v>
      </c>
      <c r="P750" s="41">
        <v>6000</v>
      </c>
      <c r="Q750" s="41">
        <v>7000</v>
      </c>
    </row>
    <row r="751" spans="1:17" ht="15" customHeight="1" x14ac:dyDescent="0.3">
      <c r="A751" s="42"/>
      <c r="B751" s="44" t="s">
        <v>473</v>
      </c>
      <c r="C751" s="44" t="s">
        <v>45</v>
      </c>
      <c r="D751" s="47" t="s">
        <v>474</v>
      </c>
      <c r="E751" s="46" t="s">
        <v>47</v>
      </c>
      <c r="F751" s="47">
        <v>1</v>
      </c>
      <c r="G751" s="46" t="s">
        <v>48</v>
      </c>
      <c r="H751" s="47" t="s">
        <v>475</v>
      </c>
      <c r="I751" s="48">
        <v>29.5</v>
      </c>
      <c r="J751" s="49">
        <f>ROUND((5412*$T$1),0)*1.05</f>
        <v>5682.6</v>
      </c>
      <c r="K751" s="49">
        <f>ROUND((6012*$T$1),0)*1.05</f>
        <v>6312.6</v>
      </c>
      <c r="L751" s="49">
        <f>ROUND((6182*$T$1),0)*1.05</f>
        <v>6491.1</v>
      </c>
      <c r="M751" s="49">
        <f>ROUND((6378*$T$1),0)*1.05</f>
        <v>6696.9000000000005</v>
      </c>
      <c r="N751" s="49">
        <f>ROUND((6576*$T$1),0)*1.05</f>
        <v>6904.8</v>
      </c>
      <c r="O751" s="49">
        <f>ROUND((6694*$T$1),0)*1.05</f>
        <v>7028.7000000000007</v>
      </c>
      <c r="P751" s="49">
        <f>ROUND((7048*$T$1),0)*1.05</f>
        <v>7400.4000000000005</v>
      </c>
      <c r="Q751" s="49">
        <f>ROUND((7639*$T$1),0)*1.05</f>
        <v>8020.9500000000007</v>
      </c>
    </row>
    <row r="752" spans="1:17" ht="15" customHeight="1" x14ac:dyDescent="0.3">
      <c r="A752" s="42"/>
      <c r="B752" s="44" t="s">
        <v>473</v>
      </c>
      <c r="C752" s="44" t="s">
        <v>45</v>
      </c>
      <c r="D752" s="47" t="s">
        <v>476</v>
      </c>
      <c r="E752" s="46" t="s">
        <v>47</v>
      </c>
      <c r="F752" s="47">
        <v>1</v>
      </c>
      <c r="G752" s="46" t="s">
        <v>48</v>
      </c>
      <c r="H752" s="47" t="s">
        <v>475</v>
      </c>
      <c r="I752" s="48">
        <v>28</v>
      </c>
      <c r="J752" s="49">
        <f>ROUND((5141*$T$1),0)*1.05</f>
        <v>5398.05</v>
      </c>
      <c r="K752" s="49">
        <f>ROUND((5712*$T$1),0)*1.05</f>
        <v>5997.6</v>
      </c>
      <c r="L752" s="49">
        <f>ROUND((5873*$T$1),0)*1.05</f>
        <v>6166.6500000000005</v>
      </c>
      <c r="M752" s="49">
        <f>ROUND((6059*$T$1),0)*1.05</f>
        <v>6361.95</v>
      </c>
      <c r="N752" s="49">
        <f>ROUND((6247*$T$1),0)*1.05</f>
        <v>6559.35</v>
      </c>
      <c r="O752" s="49">
        <f>ROUND((6360*$T$1),0)*1.05</f>
        <v>6678</v>
      </c>
      <c r="P752" s="49">
        <f>ROUND((6696*$T$1),0)*1.05</f>
        <v>7030.8</v>
      </c>
      <c r="Q752" s="49">
        <f>ROUND((7258*$T$1),0)*1.05</f>
        <v>7620.9000000000005</v>
      </c>
    </row>
    <row r="753" spans="1:17" ht="15" customHeight="1" x14ac:dyDescent="0.3">
      <c r="A753" s="42"/>
      <c r="B753" s="44" t="s">
        <v>477</v>
      </c>
      <c r="C753" s="44" t="s">
        <v>45</v>
      </c>
      <c r="D753" s="47" t="s">
        <v>478</v>
      </c>
      <c r="E753" s="46" t="s">
        <v>47</v>
      </c>
      <c r="F753" s="47">
        <v>1</v>
      </c>
      <c r="G753" s="46" t="s">
        <v>48</v>
      </c>
      <c r="H753" s="47" t="s">
        <v>475</v>
      </c>
      <c r="I753" s="48">
        <v>26.6</v>
      </c>
      <c r="J753" s="49">
        <f>ROUND((4247*$T$1),0)*1.05</f>
        <v>4459.3500000000004</v>
      </c>
      <c r="K753" s="49">
        <f>ROUND((5427*$T$1),0)*1.05</f>
        <v>5698.35</v>
      </c>
      <c r="L753" s="49">
        <f>ROUND((5580*$T$1),0)*1.05</f>
        <v>5859</v>
      </c>
      <c r="M753" s="49">
        <f>ROUND((5757*$T$1),0)*1.05</f>
        <v>6044.85</v>
      </c>
      <c r="N753" s="49">
        <f>ROUND((5934*$T$1),0)*1.05</f>
        <v>6230.7</v>
      </c>
      <c r="O753" s="49">
        <f>ROUND((6042*$T$1),0)*1.05</f>
        <v>6344.1</v>
      </c>
      <c r="P753" s="49">
        <f>ROUND((6362*$T$1),0)*1.05</f>
        <v>6680.1</v>
      </c>
      <c r="Q753" s="49">
        <f>ROUND((6894*$T$1),0)*1.05</f>
        <v>7238.7000000000007</v>
      </c>
    </row>
    <row r="754" spans="1:17" ht="15" customHeight="1" x14ac:dyDescent="0.3">
      <c r="A754" s="42"/>
      <c r="B754" s="44" t="s">
        <v>477</v>
      </c>
      <c r="C754" s="44" t="s">
        <v>45</v>
      </c>
      <c r="D754" s="47" t="s">
        <v>479</v>
      </c>
      <c r="E754" s="46" t="s">
        <v>47</v>
      </c>
      <c r="F754" s="47">
        <v>1</v>
      </c>
      <c r="G754" s="46" t="s">
        <v>48</v>
      </c>
      <c r="H754" s="47" t="s">
        <v>475</v>
      </c>
      <c r="I754" s="48">
        <v>25.3</v>
      </c>
      <c r="J754" s="49">
        <f>ROUND((4639*$T$1),0)*1.05</f>
        <v>4870.95</v>
      </c>
      <c r="K754" s="49">
        <f>ROUND((5155*$T$1),0)*1.05</f>
        <v>5412.75</v>
      </c>
      <c r="L754" s="49">
        <f>ROUND((5300*$T$1),0)*1.05</f>
        <v>5565</v>
      </c>
      <c r="M754" s="49">
        <f>ROUND((5468*$T$1),0)*1.05</f>
        <v>5741.4000000000005</v>
      </c>
      <c r="N754" s="49">
        <f>ROUND((5637*$T$1),0)*1.05</f>
        <v>5918.85</v>
      </c>
      <c r="O754" s="49">
        <f>ROUND((5740*$T$1),0)*1.05</f>
        <v>6027</v>
      </c>
      <c r="P754" s="49">
        <f>ROUND((6043*$T$1),0)*1.05</f>
        <v>6345.1500000000005</v>
      </c>
      <c r="Q754" s="49">
        <f>ROUND((6550*$T$1),0)*1.05</f>
        <v>6877.5</v>
      </c>
    </row>
    <row r="755" spans="1:17" ht="15" customHeight="1" x14ac:dyDescent="0.3">
      <c r="A755" s="42"/>
      <c r="B755" s="44" t="s">
        <v>480</v>
      </c>
      <c r="C755" s="44" t="s">
        <v>45</v>
      </c>
      <c r="D755" s="47" t="s">
        <v>479</v>
      </c>
      <c r="E755" s="46" t="s">
        <v>47</v>
      </c>
      <c r="F755" s="47">
        <v>1</v>
      </c>
      <c r="G755" s="46" t="s">
        <v>48</v>
      </c>
      <c r="H755" s="47" t="s">
        <v>475</v>
      </c>
      <c r="I755" s="48">
        <v>24.6</v>
      </c>
      <c r="J755" s="49">
        <f>ROUND((4500*$T$1),0)*1.05</f>
        <v>4725</v>
      </c>
      <c r="K755" s="49">
        <f>ROUND((5000*$T$1),0)*1.05</f>
        <v>5250</v>
      </c>
      <c r="L755" s="49">
        <f>ROUND((5142*$T$1),0)*1.05</f>
        <v>5399.1</v>
      </c>
      <c r="M755" s="49">
        <f>ROUND((5305*$T$1),0)*1.05</f>
        <v>5570.25</v>
      </c>
      <c r="N755" s="49">
        <f>ROUND((5468*$T$1),0)*1.05</f>
        <v>5741.4000000000005</v>
      </c>
      <c r="O755" s="49">
        <f>ROUND((5567*$T$1),0)*1.05</f>
        <v>5845.35</v>
      </c>
      <c r="P755" s="49">
        <f>ROUND((5863*$T$1),0)*1.05</f>
        <v>6156.1500000000005</v>
      </c>
      <c r="Q755" s="49">
        <f>ROUND((6354*$T$1),0)*1.05</f>
        <v>6671.7000000000007</v>
      </c>
    </row>
    <row r="756" spans="1:17" ht="15" customHeight="1" x14ac:dyDescent="0.3">
      <c r="A756" s="42"/>
      <c r="B756" s="44" t="s">
        <v>477</v>
      </c>
      <c r="C756" s="44" t="s">
        <v>45</v>
      </c>
      <c r="D756" s="47" t="s">
        <v>481</v>
      </c>
      <c r="E756" s="46" t="s">
        <v>47</v>
      </c>
      <c r="F756" s="47">
        <v>1</v>
      </c>
      <c r="G756" s="46" t="s">
        <v>48</v>
      </c>
      <c r="H756" s="47" t="s">
        <v>475</v>
      </c>
      <c r="I756" s="48">
        <v>23.4</v>
      </c>
      <c r="J756" s="49">
        <f>ROUND((4276*$T$1),0)*1.05</f>
        <v>4489.8</v>
      </c>
      <c r="K756" s="49">
        <f>ROUND((4751*$T$1),0)*1.05</f>
        <v>4988.55</v>
      </c>
      <c r="L756" s="49">
        <f>ROUND((4884*$T$1),0)*1.05</f>
        <v>5128.2</v>
      </c>
      <c r="M756" s="49">
        <f>ROUND((5039*$T$1),0)*1.05</f>
        <v>5290.95</v>
      </c>
      <c r="N756" s="49">
        <f>ROUND((5196*$T$1),0)*1.05</f>
        <v>5455.8</v>
      </c>
      <c r="O756" s="49">
        <f>ROUND((5289*$T$1),0)*1.05</f>
        <v>5553.45</v>
      </c>
      <c r="P756" s="49">
        <f>ROUND((5569*$T$1),0)*1.05</f>
        <v>5847.45</v>
      </c>
      <c r="Q756" s="49">
        <f>ROUND((6036*$T$1),0)*1.05</f>
        <v>6337.8</v>
      </c>
    </row>
    <row r="757" spans="1:17" ht="15" customHeight="1" x14ac:dyDescent="0.3">
      <c r="A757" s="42"/>
      <c r="B757" s="44" t="s">
        <v>482</v>
      </c>
      <c r="C757" s="44" t="s">
        <v>45</v>
      </c>
      <c r="D757" s="47" t="s">
        <v>79</v>
      </c>
      <c r="E757" s="46" t="s">
        <v>47</v>
      </c>
      <c r="F757" s="47">
        <v>1</v>
      </c>
      <c r="G757" s="46" t="s">
        <v>48</v>
      </c>
      <c r="H757" s="47" t="s">
        <v>475</v>
      </c>
      <c r="I757" s="48">
        <v>17.8</v>
      </c>
      <c r="J757" s="49">
        <f>ROUND((3249*$T$1),0)*1.05</f>
        <v>3411.4500000000003</v>
      </c>
      <c r="K757" s="49">
        <f>ROUND((3610*$T$1),0)*1.05</f>
        <v>3790.5</v>
      </c>
      <c r="L757" s="49">
        <f>ROUND((3712*$T$1),0)*1.05</f>
        <v>3897.6000000000004</v>
      </c>
      <c r="M757" s="49">
        <f>ROUND((3830*$T$1),0)*1.05</f>
        <v>4021.5</v>
      </c>
      <c r="N757" s="49">
        <f>ROUND((3948*$T$1),0)*1.05</f>
        <v>4145.4000000000005</v>
      </c>
      <c r="O757" s="49">
        <f>ROUND((4019*$T$1),0)*1.05</f>
        <v>4219.95</v>
      </c>
      <c r="P757" s="49">
        <f>ROUND((4232*$T$1),0)*1.05</f>
        <v>4443.6000000000004</v>
      </c>
      <c r="Q757" s="49">
        <f>ROUND((4587*$T$1),0)*1.05</f>
        <v>4816.3500000000004</v>
      </c>
    </row>
    <row r="758" spans="1:17" ht="15" customHeight="1" x14ac:dyDescent="0.3">
      <c r="A758" s="42"/>
      <c r="B758" s="44"/>
      <c r="C758" s="44"/>
      <c r="D758" s="47"/>
      <c r="E758" s="46"/>
      <c r="F758" s="47"/>
      <c r="G758" s="46"/>
      <c r="H758" s="47"/>
      <c r="I758" s="48"/>
      <c r="J758" s="49"/>
      <c r="K758" s="49"/>
      <c r="L758" s="49"/>
      <c r="M758" s="49"/>
      <c r="N758" s="49"/>
      <c r="O758" s="49"/>
      <c r="P758" s="49"/>
      <c r="Q758" s="49"/>
    </row>
    <row r="759" spans="1:17" ht="15" customHeight="1" x14ac:dyDescent="0.3">
      <c r="A759" s="42"/>
      <c r="B759" s="44" t="s">
        <v>483</v>
      </c>
      <c r="C759" s="44" t="s">
        <v>45</v>
      </c>
      <c r="D759" s="47" t="s">
        <v>81</v>
      </c>
      <c r="E759" s="46" t="s">
        <v>47</v>
      </c>
      <c r="F759" s="47">
        <v>1</v>
      </c>
      <c r="G759" s="46" t="s">
        <v>48</v>
      </c>
      <c r="H759" s="47" t="s">
        <v>475</v>
      </c>
      <c r="I759" s="48">
        <v>14.1</v>
      </c>
      <c r="J759" s="49">
        <f>ROUND((2577*$T$1),0)*1.05</f>
        <v>2705.85</v>
      </c>
      <c r="K759" s="49">
        <f>ROUND((2864*$T$1),0)*1.05</f>
        <v>3007.2000000000003</v>
      </c>
      <c r="L759" s="49">
        <f>ROUND((2945*$T$1),0)*1.05</f>
        <v>3092.25</v>
      </c>
      <c r="M759" s="49">
        <f>ROUND((3038*$T$1),0)*1.05</f>
        <v>3189.9</v>
      </c>
      <c r="N759" s="49">
        <f>ROUND((3133*$T$1),0)*1.05</f>
        <v>3289.65</v>
      </c>
      <c r="O759" s="49">
        <f>ROUND((3189*$T$1),0)*1.05</f>
        <v>3348.4500000000003</v>
      </c>
      <c r="P759" s="49">
        <f>ROUND((3358*$T$1),0)*1.05</f>
        <v>3525.9</v>
      </c>
      <c r="Q759" s="49">
        <f>ROUND((3639*$T$1),0)*1.05</f>
        <v>3820.9500000000003</v>
      </c>
    </row>
    <row r="760" spans="1:17" ht="15" customHeight="1" x14ac:dyDescent="0.3">
      <c r="A760" s="42"/>
      <c r="B760" s="44" t="s">
        <v>484</v>
      </c>
      <c r="C760" s="44" t="s">
        <v>45</v>
      </c>
      <c r="D760" s="47" t="s">
        <v>58</v>
      </c>
      <c r="E760" s="46" t="s">
        <v>47</v>
      </c>
      <c r="F760" s="47">
        <v>1</v>
      </c>
      <c r="G760" s="46" t="s">
        <v>48</v>
      </c>
      <c r="H760" s="47" t="s">
        <v>475</v>
      </c>
      <c r="I760" s="48">
        <v>12.7</v>
      </c>
      <c r="J760" s="49">
        <f>ROUND((2320*$T$1),0)*1.05</f>
        <v>2436</v>
      </c>
      <c r="K760" s="49">
        <f>ROUND((2577*$T$1),0)*1.05</f>
        <v>2705.85</v>
      </c>
      <c r="L760" s="49">
        <f>ROUND((2651*$T$1),0)*1.05</f>
        <v>2783.55</v>
      </c>
      <c r="M760" s="49">
        <f>ROUND((2735*$T$1),0)*1.05</f>
        <v>2871.75</v>
      </c>
      <c r="N760" s="49">
        <f>ROUND((2819*$T$1),0)*1.05</f>
        <v>2959.9500000000003</v>
      </c>
      <c r="O760" s="49">
        <f>ROUND((2170*$T$1),0)*1.05</f>
        <v>2278.5</v>
      </c>
      <c r="P760" s="49">
        <f>ROUND((3022*$T$1),0)*1.05</f>
        <v>3173.1</v>
      </c>
      <c r="Q760" s="49">
        <f>ROUND((3275*$T$1),0)*1.05</f>
        <v>3438.75</v>
      </c>
    </row>
    <row r="761" spans="1:17" ht="15" customHeight="1" x14ac:dyDescent="0.3">
      <c r="A761" s="42"/>
      <c r="B761" s="44" t="s">
        <v>485</v>
      </c>
      <c r="C761" s="44" t="s">
        <v>45</v>
      </c>
      <c r="D761" s="47" t="s">
        <v>58</v>
      </c>
      <c r="E761" s="46" t="s">
        <v>47</v>
      </c>
      <c r="F761" s="47">
        <v>1</v>
      </c>
      <c r="G761" s="46" t="s">
        <v>48</v>
      </c>
      <c r="H761" s="47" t="s">
        <v>475</v>
      </c>
      <c r="I761" s="48">
        <v>13.7</v>
      </c>
      <c r="J761" s="49">
        <f>ROUND((2500*$T$1),0)*1.05</f>
        <v>2625</v>
      </c>
      <c r="K761" s="49">
        <f>ROUND((2778*$T$1),0)*1.05</f>
        <v>2916.9</v>
      </c>
      <c r="L761" s="49">
        <f>ROUND((2872*$T$1),0)*1.05</f>
        <v>3015.6</v>
      </c>
      <c r="M761" s="49">
        <f>ROUND((2947*$T$1),0)*1.05</f>
        <v>3094.35</v>
      </c>
      <c r="N761" s="49">
        <f>ROUND((3038*$T$1),0)*1.05</f>
        <v>3189.9</v>
      </c>
      <c r="O761" s="49">
        <f>ROUND((3094*$T$1),0)*1.05</f>
        <v>3248.7000000000003</v>
      </c>
      <c r="P761" s="49">
        <f>ROUND((3257*$T$1),0)*1.05</f>
        <v>3419.8500000000004</v>
      </c>
      <c r="Q761" s="49">
        <f>ROUND((3529*$T$1),0)*1.05</f>
        <v>3705.4500000000003</v>
      </c>
    </row>
    <row r="762" spans="1:17" ht="15" customHeight="1" x14ac:dyDescent="0.3">
      <c r="A762" s="42"/>
      <c r="B762" s="44" t="s">
        <v>486</v>
      </c>
      <c r="C762" s="44" t="s">
        <v>45</v>
      </c>
      <c r="D762" s="47" t="s">
        <v>62</v>
      </c>
      <c r="E762" s="46" t="s">
        <v>47</v>
      </c>
      <c r="F762" s="47">
        <v>1</v>
      </c>
      <c r="G762" s="46" t="s">
        <v>48</v>
      </c>
      <c r="H762" s="47" t="s">
        <v>475</v>
      </c>
      <c r="I762" s="48">
        <v>12.4</v>
      </c>
      <c r="J762" s="49">
        <f>ROUND((2251*$T$1),0)*1.05</f>
        <v>2363.5500000000002</v>
      </c>
      <c r="K762" s="49">
        <f>ROUND((2500*$T$1),0)*1.05</f>
        <v>2625</v>
      </c>
      <c r="L762" s="49">
        <f>ROUND((2570*$T$1),0)*1.05</f>
        <v>2698.5</v>
      </c>
      <c r="M762" s="49">
        <f>ROUND((2652*$T$1),0)*1.05</f>
        <v>2784.6</v>
      </c>
      <c r="N762" s="49">
        <f>ROUND((2735*$T$1),0)*1.05</f>
        <v>2871.75</v>
      </c>
      <c r="O762" s="49">
        <f>ROUND((2784*$T$1),0)*1.05</f>
        <v>2923.2000000000003</v>
      </c>
      <c r="P762" s="49">
        <f>ROUND((2931*$T$1),0)*1.05</f>
        <v>3077.55</v>
      </c>
      <c r="Q762" s="49">
        <f>ROUND((3176*$T$1),0)*1.05</f>
        <v>3334.8</v>
      </c>
    </row>
    <row r="763" spans="1:17" ht="15" customHeight="1" x14ac:dyDescent="0.3">
      <c r="A763" s="42"/>
      <c r="B763" s="44"/>
      <c r="C763" s="44"/>
      <c r="D763" s="47"/>
      <c r="E763" s="46"/>
      <c r="F763" s="47"/>
      <c r="G763" s="46"/>
      <c r="H763" s="47"/>
      <c r="I763" s="48"/>
      <c r="J763" s="49"/>
      <c r="K763" s="49"/>
      <c r="L763" s="49"/>
      <c r="M763" s="49"/>
      <c r="N763" s="49"/>
      <c r="O763" s="49"/>
      <c r="P763" s="49"/>
      <c r="Q763" s="49"/>
    </row>
    <row r="764" spans="1:17" ht="15" customHeight="1" x14ac:dyDescent="0.3">
      <c r="A764" s="42"/>
      <c r="B764" s="44" t="s">
        <v>487</v>
      </c>
      <c r="C764" s="44" t="s">
        <v>45</v>
      </c>
      <c r="D764" s="47" t="s">
        <v>474</v>
      </c>
      <c r="E764" s="46" t="s">
        <v>47</v>
      </c>
      <c r="F764" s="47">
        <v>1</v>
      </c>
      <c r="G764" s="46" t="s">
        <v>48</v>
      </c>
      <c r="H764" s="47" t="s">
        <v>475</v>
      </c>
      <c r="I764" s="48">
        <v>29.5</v>
      </c>
      <c r="J764" s="49">
        <f>ROUND((5952*$T$1),0)*1.05</f>
        <v>6249.6</v>
      </c>
      <c r="K764" s="49">
        <f>ROUND((6614*$T$1),0)*1.05</f>
        <v>6944.7000000000007</v>
      </c>
      <c r="L764" s="49">
        <f>ROUND((6800*$T$1),0)*1.05</f>
        <v>7140</v>
      </c>
      <c r="M764" s="49">
        <f>ROUND((7016*$T$1),0)*1.05</f>
        <v>7366.8</v>
      </c>
      <c r="N764" s="49">
        <f>ROUND((7234*$T$1),0)*1.05</f>
        <v>7595.7000000000007</v>
      </c>
      <c r="O764" s="49">
        <f>ROUND((7363*$T$1),0)*1.05</f>
        <v>7731.1500000000005</v>
      </c>
      <c r="P764" s="49">
        <f>ROUND((7753*$T$1),0)*1.05</f>
        <v>8140.6500000000005</v>
      </c>
      <c r="Q764" s="49">
        <f>ROUND((8403*$T$1),0)*1.05</f>
        <v>8823.15</v>
      </c>
    </row>
    <row r="765" spans="1:17" ht="15" customHeight="1" x14ac:dyDescent="0.3">
      <c r="A765" s="42"/>
      <c r="B765" s="44" t="s">
        <v>487</v>
      </c>
      <c r="C765" s="44" t="s">
        <v>45</v>
      </c>
      <c r="D765" s="47" t="s">
        <v>476</v>
      </c>
      <c r="E765" s="46" t="s">
        <v>47</v>
      </c>
      <c r="F765" s="47">
        <v>1</v>
      </c>
      <c r="G765" s="46" t="s">
        <v>48</v>
      </c>
      <c r="H765" s="47" t="s">
        <v>475</v>
      </c>
      <c r="I765" s="48">
        <v>28</v>
      </c>
      <c r="J765" s="49">
        <f>ROUND((5655*$T$1),0)*1.05</f>
        <v>5937.75</v>
      </c>
      <c r="K765" s="49">
        <f>ROUND((6284*$T$1),0)*1.05</f>
        <v>6598.2000000000007</v>
      </c>
      <c r="L765" s="49">
        <f>ROUND((6461*$T$1),0)*1.05</f>
        <v>6784.05</v>
      </c>
      <c r="M765" s="49">
        <f>ROUND((6665*$T$1),0)*1.05</f>
        <v>6998.25</v>
      </c>
      <c r="N765" s="49">
        <f>ROUND((6871*$T$1),0)*1.05</f>
        <v>7214.55</v>
      </c>
      <c r="O765" s="49">
        <f>ROUND((6995*$T$1),0)*1.05</f>
        <v>7344.75</v>
      </c>
      <c r="P765" s="49">
        <f>ROUND((7366*$T$1),0)*1.05</f>
        <v>7734.3</v>
      </c>
      <c r="Q765" s="49">
        <f>ROUND((7983*$T$1),0)*1.05</f>
        <v>8382.15</v>
      </c>
    </row>
    <row r="766" spans="1:17" ht="15" customHeight="1" x14ac:dyDescent="0.3">
      <c r="A766" s="42"/>
      <c r="B766" s="44" t="s">
        <v>488</v>
      </c>
      <c r="C766" s="44" t="s">
        <v>45</v>
      </c>
      <c r="D766" s="47" t="s">
        <v>478</v>
      </c>
      <c r="E766" s="46" t="s">
        <v>47</v>
      </c>
      <c r="F766" s="47">
        <v>1</v>
      </c>
      <c r="G766" s="46" t="s">
        <v>48</v>
      </c>
      <c r="H766" s="47" t="s">
        <v>475</v>
      </c>
      <c r="I766" s="48">
        <v>26.6</v>
      </c>
      <c r="J766" s="49">
        <f>ROUND((5372*$T$1),0)*1.05</f>
        <v>5640.6</v>
      </c>
      <c r="K766" s="49">
        <f>ROUND((5910*$T$1),0)*1.05</f>
        <v>6205.5</v>
      </c>
      <c r="L766" s="49">
        <f>ROUND((6138*$T$1),0)*1.05</f>
        <v>6444.9000000000005</v>
      </c>
      <c r="M766" s="49">
        <f>ROUND((6332*$T$1),0)*1.05</f>
        <v>6648.6</v>
      </c>
      <c r="N766" s="49">
        <f>ROUND((6527*$T$1),0)*1.05</f>
        <v>6853.35</v>
      </c>
      <c r="O766" s="49">
        <f>ROUND((6646*$T$1),0)*1.05</f>
        <v>6978.3</v>
      </c>
      <c r="P766" s="49">
        <f>ROUND((6988*$T$1),0)*1.05</f>
        <v>7337.4000000000005</v>
      </c>
      <c r="Q766" s="49">
        <f>ROUND((7584*$T$1),0)*1.05</f>
        <v>7963.2000000000007</v>
      </c>
    </row>
    <row r="767" spans="1:17" ht="15" customHeight="1" x14ac:dyDescent="0.3">
      <c r="A767" s="42"/>
      <c r="B767" s="44" t="s">
        <v>488</v>
      </c>
      <c r="C767" s="44" t="s">
        <v>45</v>
      </c>
      <c r="D767" s="47" t="s">
        <v>479</v>
      </c>
      <c r="E767" s="46" t="s">
        <v>47</v>
      </c>
      <c r="F767" s="47">
        <v>1</v>
      </c>
      <c r="G767" s="46" t="s">
        <v>48</v>
      </c>
      <c r="H767" s="47" t="s">
        <v>475</v>
      </c>
      <c r="I767" s="48">
        <v>25.3</v>
      </c>
      <c r="J767" s="49">
        <f>ROUND((5104*$T$1),0)*1.05</f>
        <v>5359.2</v>
      </c>
      <c r="K767" s="49">
        <f>ROUND((5671*$T$1),0)*1.05</f>
        <v>5954.55</v>
      </c>
      <c r="L767" s="49">
        <f>ROUND((5831*$T$1),0)*1.05</f>
        <v>6122.55</v>
      </c>
      <c r="M767" s="49">
        <f>ROUND((6016*$T$1),0)*1.05</f>
        <v>6316.8</v>
      </c>
      <c r="N767" s="49">
        <f>ROUND((6202*$T$1),0)*1.05</f>
        <v>6512.1</v>
      </c>
      <c r="O767" s="49">
        <f>ROUND((6314*$T$1),0)*1.05</f>
        <v>6629.7000000000007</v>
      </c>
      <c r="P767" s="49">
        <f>ROUND((6648*$T$1),0)*1.05</f>
        <v>6980.4000000000005</v>
      </c>
      <c r="Q767" s="49">
        <f>ROUND((7205*$T$1),0)*1.05</f>
        <v>7565.25</v>
      </c>
    </row>
    <row r="768" spans="1:17" ht="15" customHeight="1" x14ac:dyDescent="0.3">
      <c r="A768" s="42"/>
      <c r="B768" s="44" t="s">
        <v>488</v>
      </c>
      <c r="C768" s="44" t="s">
        <v>45</v>
      </c>
      <c r="D768" s="47" t="s">
        <v>481</v>
      </c>
      <c r="E768" s="46" t="s">
        <v>47</v>
      </c>
      <c r="F768" s="47">
        <v>1</v>
      </c>
      <c r="G768" s="46" t="s">
        <v>48</v>
      </c>
      <c r="H768" s="47" t="s">
        <v>475</v>
      </c>
      <c r="I768" s="48">
        <v>24.6</v>
      </c>
      <c r="J768" s="49">
        <f>ROUND((4951*$T$1),0)*1.05</f>
        <v>5198.55</v>
      </c>
      <c r="K768" s="49">
        <f>ROUND((5500*$T$1),0)*1.05</f>
        <v>5775</v>
      </c>
      <c r="L768" s="49">
        <f>ROUND((5656*$T$1),0)*1.05</f>
        <v>5938.8</v>
      </c>
      <c r="M768" s="49">
        <f>ROUND((5835*$T$1),0)*1.05</f>
        <v>6126.75</v>
      </c>
      <c r="N768" s="49">
        <f>ROUND((6016*$T$1),0)*1.05</f>
        <v>6316.8</v>
      </c>
      <c r="O768" s="49">
        <f>ROUND((6124*$T$1),0)*1.05</f>
        <v>6430.2</v>
      </c>
      <c r="P768" s="49">
        <f>ROUND((6350*$T$1),0)*1.05</f>
        <v>6667.5</v>
      </c>
      <c r="Q768" s="49">
        <f>ROUND((6989*$T$1),0)*1.05</f>
        <v>7338.4500000000007</v>
      </c>
    </row>
    <row r="769" spans="1:17" ht="15" customHeight="1" x14ac:dyDescent="0.3">
      <c r="A769" s="42"/>
      <c r="B769" s="44"/>
      <c r="C769" s="44"/>
      <c r="D769" s="47"/>
      <c r="E769" s="46"/>
      <c r="F769" s="47"/>
      <c r="G769" s="46"/>
      <c r="H769" s="47"/>
      <c r="I769" s="48"/>
      <c r="J769" s="49"/>
      <c r="K769" s="49"/>
      <c r="L769" s="49"/>
      <c r="M769" s="49"/>
      <c r="N769" s="49"/>
      <c r="O769" s="49"/>
      <c r="P769" s="49"/>
      <c r="Q769" s="49"/>
    </row>
    <row r="770" spans="1:17" ht="15" customHeight="1" x14ac:dyDescent="0.3">
      <c r="A770" s="42"/>
      <c r="B770" s="44" t="s">
        <v>333</v>
      </c>
      <c r="C770" s="44" t="s">
        <v>45</v>
      </c>
      <c r="D770" s="47">
        <v>1</v>
      </c>
      <c r="E770" s="46" t="s">
        <v>47</v>
      </c>
      <c r="F770" s="47">
        <v>1</v>
      </c>
      <c r="G770" s="46" t="s">
        <v>48</v>
      </c>
      <c r="H770" s="47" t="s">
        <v>475</v>
      </c>
      <c r="I770" s="48">
        <v>11.2</v>
      </c>
      <c r="J770" s="49">
        <f>ROUND((2025*$T$1),0)*1.05</f>
        <v>2126.25</v>
      </c>
      <c r="K770" s="49">
        <f>ROUND((2251*$T$1),0)*1.05</f>
        <v>2363.5500000000002</v>
      </c>
      <c r="L770" s="49">
        <f>ROUND((2318*$T$1),0)*1.05</f>
        <v>2433.9</v>
      </c>
      <c r="M770" s="49">
        <f>ROUND((2387*$T$1),0)*1.05</f>
        <v>2506.35</v>
      </c>
      <c r="N770" s="49">
        <f>ROUND((2461*$T$1),0)*1.05</f>
        <v>2584.0500000000002</v>
      </c>
      <c r="O770" s="49">
        <f>ROUND((2505*$T$1),0)*1.05</f>
        <v>2630.25</v>
      </c>
      <c r="P770" s="49">
        <f>ROUND((2638*$T$1),0)*1.05</f>
        <v>2769.9</v>
      </c>
      <c r="Q770" s="49">
        <f>ROUND((2859*$T$1),0)*1.05</f>
        <v>3001.9500000000003</v>
      </c>
    </row>
    <row r="771" spans="1:17" ht="15" customHeight="1" x14ac:dyDescent="0.3">
      <c r="A771" s="42"/>
      <c r="B771" s="44" t="s">
        <v>98</v>
      </c>
      <c r="C771" s="44" t="s">
        <v>45</v>
      </c>
      <c r="D771" s="47" t="s">
        <v>489</v>
      </c>
      <c r="E771" s="46" t="s">
        <v>47</v>
      </c>
      <c r="F771" s="47" t="s">
        <v>489</v>
      </c>
      <c r="G771" s="46" t="s">
        <v>48</v>
      </c>
      <c r="H771" s="47" t="s">
        <v>490</v>
      </c>
      <c r="I771" s="48">
        <v>6.8</v>
      </c>
      <c r="J771" s="49">
        <f>ROUND((1350*$T$1),0)*1.05</f>
        <v>1417.5</v>
      </c>
      <c r="K771" s="49">
        <f>ROUND((1501*$T$1),0)*1.05</f>
        <v>1576.05</v>
      </c>
      <c r="L771" s="49">
        <f>ROUND((1541*$T$1),0)*1.05</f>
        <v>1618.0500000000002</v>
      </c>
      <c r="M771" s="49">
        <f>ROUND((1587*$T$1),0)*1.05</f>
        <v>1666.3500000000001</v>
      </c>
      <c r="N771" s="49">
        <f>ROUND((1633*$T$1),0)*1.05</f>
        <v>1714.65</v>
      </c>
      <c r="O771" s="49">
        <f>ROUND((1662*$T$1),0)*1.05</f>
        <v>1745.1000000000001</v>
      </c>
      <c r="P771" s="49">
        <f>ROUND((1745*$T$1),0)*1.05</f>
        <v>1832.25</v>
      </c>
      <c r="Q771" s="49">
        <f>ROUND((1884*$T$1),0)*1.05</f>
        <v>1978.2</v>
      </c>
    </row>
    <row r="772" spans="1:17" ht="15" customHeight="1" x14ac:dyDescent="0.3">
      <c r="A772" s="42"/>
      <c r="B772" s="44" t="s">
        <v>98</v>
      </c>
      <c r="C772" s="44" t="s">
        <v>45</v>
      </c>
      <c r="D772" s="47" t="s">
        <v>58</v>
      </c>
      <c r="E772" s="46" t="s">
        <v>47</v>
      </c>
      <c r="F772" s="47" t="s">
        <v>489</v>
      </c>
      <c r="G772" s="46" t="s">
        <v>48</v>
      </c>
      <c r="H772" s="47" t="s">
        <v>490</v>
      </c>
      <c r="I772" s="48">
        <v>8</v>
      </c>
      <c r="J772" s="49">
        <f>ROUND((1589*$T$1),0)*1.05</f>
        <v>1668.45</v>
      </c>
      <c r="K772" s="49">
        <f>ROUND((1765*$T$1),0)*1.05</f>
        <v>1853.25</v>
      </c>
      <c r="L772" s="49">
        <f>ROUND((1812*$T$1),0)*1.05</f>
        <v>1902.6000000000001</v>
      </c>
      <c r="M772" s="49">
        <f>ROUND((1868*$T$1),0)*1.05</f>
        <v>1961.4</v>
      </c>
      <c r="N772" s="49">
        <f>ROUND((1922*$T$1),0)*1.05</f>
        <v>2018.1000000000001</v>
      </c>
      <c r="O772" s="49">
        <f>ROUND((1955*$T$1),0)*1.05</f>
        <v>2052.75</v>
      </c>
      <c r="P772" s="49">
        <f>ROUND((2053*$T$1),0)*1.05</f>
        <v>2155.65</v>
      </c>
      <c r="Q772" s="49">
        <f>ROUND((2216*$T$1),0)*1.05</f>
        <v>2326.8000000000002</v>
      </c>
    </row>
    <row r="773" spans="1:17" ht="15" customHeight="1" x14ac:dyDescent="0.3">
      <c r="A773" s="42"/>
      <c r="B773" s="44" t="s">
        <v>491</v>
      </c>
      <c r="C773" s="44" t="s">
        <v>45</v>
      </c>
      <c r="D773" s="47" t="s">
        <v>64</v>
      </c>
      <c r="E773" s="46" t="s">
        <v>47</v>
      </c>
      <c r="F773" s="47">
        <v>1</v>
      </c>
      <c r="G773" s="46" t="s">
        <v>48</v>
      </c>
      <c r="H773" s="47" t="s">
        <v>490</v>
      </c>
      <c r="I773" s="48">
        <v>7.5</v>
      </c>
      <c r="J773" s="49">
        <f>ROUND((1478*$T$1),0)*1.05</f>
        <v>1551.9</v>
      </c>
      <c r="K773" s="49">
        <f>ROUND((1642*$T$1),0)*1.05</f>
        <v>1724.1000000000001</v>
      </c>
      <c r="L773" s="49">
        <f>ROUND((1686*$T$1),0)*1.05</f>
        <v>1770.3000000000002</v>
      </c>
      <c r="M773" s="49">
        <f>ROUND((1737*$T$1),0)*1.05</f>
        <v>1823.8500000000001</v>
      </c>
      <c r="N773" s="49">
        <f>ROUND((1787*$T$1),0)*1.05</f>
        <v>1876.3500000000001</v>
      </c>
      <c r="O773" s="49">
        <f>ROUND((1818*$T$1),0)*1.05</f>
        <v>1908.9</v>
      </c>
      <c r="P773" s="49">
        <f>ROUND((1909*$T$1),0)*1.05</f>
        <v>2004.45</v>
      </c>
      <c r="Q773" s="49">
        <f>ROUND((2061*$T$1),0)*1.05</f>
        <v>2164.0500000000002</v>
      </c>
    </row>
    <row r="774" spans="1:17" ht="15" customHeight="1" x14ac:dyDescent="0.3">
      <c r="A774" s="42"/>
      <c r="B774" s="44" t="s">
        <v>492</v>
      </c>
      <c r="C774" s="44" t="s">
        <v>45</v>
      </c>
      <c r="D774" s="47">
        <v>1.4</v>
      </c>
      <c r="E774" s="46" t="s">
        <v>47</v>
      </c>
      <c r="F774" s="47">
        <v>1.6</v>
      </c>
      <c r="G774" s="46" t="s">
        <v>48</v>
      </c>
      <c r="H774" s="47">
        <v>0.74</v>
      </c>
      <c r="I774" s="48">
        <v>14</v>
      </c>
      <c r="J774" s="49">
        <f>ROUND((3353*$T$1),0)*1.05</f>
        <v>3520.65</v>
      </c>
      <c r="K774" s="49">
        <f>ROUND((3726*$T$1),0)*1.05</f>
        <v>3912.3</v>
      </c>
      <c r="L774" s="49">
        <f>ROUND((3813*$T$1),0)*1.05</f>
        <v>4003.65</v>
      </c>
      <c r="M774" s="49">
        <f>ROUND((3915*$T$1),0)*1.05</f>
        <v>4110.75</v>
      </c>
      <c r="N774" s="49">
        <f>ROUND((4017*$T$1),0)*1.05</f>
        <v>4217.8500000000004</v>
      </c>
      <c r="O774" s="49">
        <f>ROUND((4078*$T$1),0)*1.05</f>
        <v>4281.9000000000005</v>
      </c>
      <c r="P774" s="49">
        <f>ROUND((4261*$T$1),0)*1.05</f>
        <v>4474.05</v>
      </c>
      <c r="Q774" s="49">
        <f>ROUND((4566*$T$1),0)*1.05</f>
        <v>4794.3</v>
      </c>
    </row>
    <row r="775" spans="1:17" ht="15" customHeight="1" x14ac:dyDescent="0.3">
      <c r="A775" s="42"/>
      <c r="B775" s="44"/>
      <c r="C775" s="44"/>
      <c r="D775" s="47"/>
      <c r="E775" s="46"/>
      <c r="F775" s="47"/>
      <c r="G775" s="46"/>
      <c r="H775" s="47"/>
      <c r="I775" s="57"/>
      <c r="J775" s="58"/>
      <c r="K775" s="58"/>
      <c r="L775" s="58"/>
      <c r="M775" s="58"/>
      <c r="N775" s="58"/>
      <c r="O775" s="58"/>
      <c r="P775" s="58"/>
      <c r="Q775" s="58"/>
    </row>
    <row r="776" spans="1:17" ht="15" customHeight="1" x14ac:dyDescent="0.3">
      <c r="A776" s="42"/>
      <c r="B776" s="188"/>
      <c r="C776" s="188"/>
      <c r="D776" s="188"/>
      <c r="E776" s="188"/>
      <c r="F776" s="188"/>
      <c r="G776" s="188"/>
      <c r="H776" s="188"/>
      <c r="I776" s="188"/>
    </row>
    <row r="777" spans="1:17" ht="15" customHeight="1" x14ac:dyDescent="0.3">
      <c r="A777" s="42"/>
      <c r="B777" s="44" t="s">
        <v>493</v>
      </c>
      <c r="C777" s="44" t="s">
        <v>45</v>
      </c>
      <c r="D777" s="47" t="s">
        <v>474</v>
      </c>
      <c r="E777" s="46" t="s">
        <v>47</v>
      </c>
      <c r="F777" s="47">
        <v>1</v>
      </c>
      <c r="G777" s="46" t="s">
        <v>48</v>
      </c>
      <c r="H777" s="47" t="s">
        <v>475</v>
      </c>
      <c r="I777" s="57">
        <v>29.5</v>
      </c>
      <c r="J777" s="58">
        <f>ROUND((5703*$T$1),0)*1.05</f>
        <v>5988.1500000000005</v>
      </c>
      <c r="K777" s="58">
        <f>ROUND((6335*$T$1),0)*1.05</f>
        <v>6651.75</v>
      </c>
      <c r="L777" s="58">
        <f>ROUND((6510*$T$1),0)*1.05</f>
        <v>6835.5</v>
      </c>
      <c r="M777" s="58">
        <f>ROUND((6713*$T$1),0)*1.05</f>
        <v>7048.6500000000005</v>
      </c>
      <c r="N777" s="58">
        <f>ROUND((6916*$T$1),0)*1.05</f>
        <v>7261.8</v>
      </c>
      <c r="O777" s="58">
        <f>ROUND((7038*$T$1),0)*1.05</f>
        <v>7389.9000000000005</v>
      </c>
      <c r="P777" s="58">
        <f>ROUND((7403*$T$1),0)*1.05</f>
        <v>7773.1500000000005</v>
      </c>
      <c r="Q777" s="58">
        <f>ROUND((8010*$T$1),0)*1.05</f>
        <v>8410.5</v>
      </c>
    </row>
    <row r="778" spans="1:17" ht="15" customHeight="1" x14ac:dyDescent="0.3">
      <c r="A778" s="42"/>
      <c r="B778" s="44" t="s">
        <v>493</v>
      </c>
      <c r="C778" s="44" t="s">
        <v>45</v>
      </c>
      <c r="D778" s="47" t="s">
        <v>476</v>
      </c>
      <c r="E778" s="46" t="s">
        <v>47</v>
      </c>
      <c r="F778" s="47">
        <v>1</v>
      </c>
      <c r="G778" s="46" t="s">
        <v>48</v>
      </c>
      <c r="H778" s="47" t="s">
        <v>475</v>
      </c>
      <c r="I778" s="57">
        <v>28</v>
      </c>
      <c r="J778" s="58">
        <f>ROUND((5418*$T$1),0)*1.05</f>
        <v>5688.9000000000005</v>
      </c>
      <c r="K778" s="58">
        <f>ROUND((6019*$T$1),0)*1.05</f>
        <v>6319.95</v>
      </c>
      <c r="L778" s="58">
        <f>ROUND((6185*$T$1),0)*1.05</f>
        <v>6494.25</v>
      </c>
      <c r="M778" s="58">
        <f>ROUND((6377*$T$1),0)*1.05</f>
        <v>6695.85</v>
      </c>
      <c r="N778" s="58">
        <f>ROUND((6570*$T$1),0)*1.05</f>
        <v>6898.5</v>
      </c>
      <c r="O778" s="58">
        <f>ROUND((6686*$T$1),0)*1.05</f>
        <v>7020.3</v>
      </c>
      <c r="P778" s="58">
        <f>ROUND((7032*$T$1),0)*1.05</f>
        <v>7383.6</v>
      </c>
      <c r="Q778" s="58">
        <f>ROUND((7610*$T$1),0)*1.05</f>
        <v>7990.5</v>
      </c>
    </row>
    <row r="779" spans="1:17" ht="15" customHeight="1" x14ac:dyDescent="0.3">
      <c r="A779" s="42"/>
      <c r="B779" s="44" t="s">
        <v>494</v>
      </c>
      <c r="C779" s="44" t="s">
        <v>45</v>
      </c>
      <c r="D779" s="47" t="s">
        <v>478</v>
      </c>
      <c r="E779" s="46" t="s">
        <v>47</v>
      </c>
      <c r="F779" s="47">
        <v>1</v>
      </c>
      <c r="G779" s="46" t="s">
        <v>48</v>
      </c>
      <c r="H779" s="47" t="s">
        <v>475</v>
      </c>
      <c r="I779" s="57">
        <v>26.6</v>
      </c>
      <c r="J779" s="58">
        <f>ROUND((5146*$T$1),0)*1.05</f>
        <v>5403.3</v>
      </c>
      <c r="K779" s="58">
        <f>ROUND((5718*$T$1),0)*1.05</f>
        <v>6003.9000000000005</v>
      </c>
      <c r="L779" s="58">
        <f>ROUND((5875*$T$1),0)*1.05</f>
        <v>6168.75</v>
      </c>
      <c r="M779" s="58">
        <f>ROUND((6058*$T$1),0)*1.05</f>
        <v>6360.9000000000005</v>
      </c>
      <c r="N779" s="58">
        <f>ROUND((6241*$T$1),0)*1.05</f>
        <v>6553.05</v>
      </c>
      <c r="O779" s="58">
        <f>ROUND((6351*$T$1),0)*1.05</f>
        <v>6668.55</v>
      </c>
      <c r="P779" s="58">
        <f>ROUND((6680*$T$1),0)*1.05</f>
        <v>7014</v>
      </c>
      <c r="Q779" s="58">
        <f>ROUND((7229*$T$1),0)*1.05</f>
        <v>7590.4500000000007</v>
      </c>
    </row>
    <row r="780" spans="1:17" ht="15" customHeight="1" x14ac:dyDescent="0.3">
      <c r="A780" s="42"/>
      <c r="B780" s="44" t="s">
        <v>494</v>
      </c>
      <c r="C780" s="44" t="s">
        <v>45</v>
      </c>
      <c r="D780" s="47" t="s">
        <v>479</v>
      </c>
      <c r="E780" s="46" t="s">
        <v>47</v>
      </c>
      <c r="F780" s="47">
        <v>1</v>
      </c>
      <c r="G780" s="46" t="s">
        <v>48</v>
      </c>
      <c r="H780" s="47" t="s">
        <v>475</v>
      </c>
      <c r="I780" s="57">
        <v>25.3</v>
      </c>
      <c r="J780" s="58">
        <f>ROUND((4889*$T$1),0)*1.05</f>
        <v>5133.45</v>
      </c>
      <c r="K780" s="58">
        <f>ROUND((5433*$T$1),0)*1.05</f>
        <v>5704.6500000000005</v>
      </c>
      <c r="L780" s="58">
        <f>ROUND((5582*$T$1),0)*1.05</f>
        <v>5861.1</v>
      </c>
      <c r="M780" s="58">
        <f>ROUND((5755*$T$1),0)*1.05</f>
        <v>6042.75</v>
      </c>
      <c r="N780" s="58">
        <f>ROUND((5929*$T$1),0)*1.05</f>
        <v>6225.45</v>
      </c>
      <c r="O780" s="58">
        <f>ROUND((6034*$T$1),0)*1.05</f>
        <v>6335.7</v>
      </c>
      <c r="P780" s="58">
        <f>ROUND((6347*$T$1),0)*1.05</f>
        <v>6664.35</v>
      </c>
      <c r="Q780" s="58">
        <f>ROUND((6868*$T$1),0)*1.05</f>
        <v>7211.4000000000005</v>
      </c>
    </row>
    <row r="781" spans="1:17" ht="15" customHeight="1" x14ac:dyDescent="0.3">
      <c r="A781" s="42"/>
      <c r="B781" s="44" t="s">
        <v>495</v>
      </c>
      <c r="C781" s="44" t="s">
        <v>45</v>
      </c>
      <c r="D781" s="47">
        <v>2.2000000000000002</v>
      </c>
      <c r="E781" s="46" t="s">
        <v>47</v>
      </c>
      <c r="F781" s="47">
        <v>1</v>
      </c>
      <c r="G781" s="46" t="s">
        <v>48</v>
      </c>
      <c r="H781" s="47" t="s">
        <v>475</v>
      </c>
      <c r="I781" s="57">
        <v>24.1</v>
      </c>
      <c r="J781" s="58">
        <f>ROUND((4645*$T$1),0)*1.05</f>
        <v>4877.25</v>
      </c>
      <c r="K781" s="58">
        <f>ROUND((5161*$T$1),0)*1.05</f>
        <v>5419.05</v>
      </c>
      <c r="L781" s="58">
        <f>ROUND((5303*$T$1),0)*1.05</f>
        <v>5568.1500000000005</v>
      </c>
      <c r="M781" s="58">
        <f>ROUND((5467*$T$1),0)*1.05</f>
        <v>5740.35</v>
      </c>
      <c r="N781" s="58">
        <f>ROUND((5633*$T$1),0)*1.05</f>
        <v>5914.6500000000005</v>
      </c>
      <c r="O781" s="58">
        <f>ROUND((5733*$T$1),0)*1.05</f>
        <v>6019.6500000000005</v>
      </c>
      <c r="P781" s="58">
        <f>ROUND((6029*$T$1),0)*1.05</f>
        <v>6330.45</v>
      </c>
      <c r="Q781" s="58">
        <f>ROUND((6524*$T$1),0)*1.05</f>
        <v>6850.2000000000007</v>
      </c>
    </row>
    <row r="782" spans="1:17" ht="15" customHeight="1" x14ac:dyDescent="0.3">
      <c r="A782" s="42"/>
      <c r="B782" s="44"/>
      <c r="C782" s="44"/>
      <c r="D782" s="47"/>
      <c r="E782" s="46"/>
      <c r="F782" s="47"/>
      <c r="G782" s="46"/>
      <c r="H782" s="47"/>
      <c r="I782" s="57"/>
      <c r="J782" s="58"/>
      <c r="K782" s="58"/>
      <c r="L782" s="58"/>
      <c r="M782" s="58"/>
      <c r="N782" s="58"/>
      <c r="O782" s="58"/>
      <c r="P782" s="58"/>
      <c r="Q782" s="58"/>
    </row>
    <row r="783" spans="1:17" ht="15" customHeight="1" x14ac:dyDescent="0.3">
      <c r="A783" s="42"/>
      <c r="B783" s="44" t="s">
        <v>496</v>
      </c>
      <c r="C783" s="44" t="s">
        <v>45</v>
      </c>
      <c r="D783" s="47" t="s">
        <v>474</v>
      </c>
      <c r="E783" s="46" t="s">
        <v>47</v>
      </c>
      <c r="F783" s="47">
        <v>1</v>
      </c>
      <c r="G783" s="46" t="s">
        <v>48</v>
      </c>
      <c r="H783" s="47" t="s">
        <v>475</v>
      </c>
      <c r="I783" s="57">
        <v>29.5</v>
      </c>
      <c r="J783" s="58">
        <f>ROUND((6272*$T$1),0)*1.05</f>
        <v>6585.6</v>
      </c>
      <c r="K783" s="58">
        <f>ROUND((6969*$T$1),0)*1.05</f>
        <v>7317.4500000000007</v>
      </c>
      <c r="L783" s="58">
        <f>ROUND((7161*$T$1),0)*1.05</f>
        <v>7519.05</v>
      </c>
      <c r="M783" s="58">
        <f>ROUND((7384*$T$1),0)*1.05</f>
        <v>7753.2000000000007</v>
      </c>
      <c r="N783" s="58">
        <f>ROUND((7607*$T$1),0)*1.05</f>
        <v>7987.35</v>
      </c>
      <c r="O783" s="58">
        <f>ROUND((7742*$T$1),0)*1.05</f>
        <v>8129.1</v>
      </c>
      <c r="P783" s="58">
        <f>ROUND((8143*$T$1),0)*1.05</f>
        <v>8550.15</v>
      </c>
      <c r="Q783" s="58">
        <f>ROUND((8811*$T$1),0)*1.05</f>
        <v>9251.5500000000011</v>
      </c>
    </row>
    <row r="784" spans="1:17" ht="15" customHeight="1" x14ac:dyDescent="0.3">
      <c r="A784" s="42"/>
      <c r="B784" s="44" t="s">
        <v>496</v>
      </c>
      <c r="C784" s="44" t="s">
        <v>45</v>
      </c>
      <c r="D784" s="47" t="s">
        <v>476</v>
      </c>
      <c r="E784" s="46" t="s">
        <v>47</v>
      </c>
      <c r="F784" s="47">
        <v>1</v>
      </c>
      <c r="G784" s="46" t="s">
        <v>48</v>
      </c>
      <c r="H784" s="47" t="s">
        <v>475</v>
      </c>
      <c r="I784" s="57">
        <v>28</v>
      </c>
      <c r="J784" s="58">
        <f>ROUND((5959*$T$1),0)*1.05</f>
        <v>6256.95</v>
      </c>
      <c r="K784" s="58">
        <f>ROUND((6621*$T$1),0)*1.05</f>
        <v>6952.05</v>
      </c>
      <c r="L784" s="58">
        <f>ROUND((6803*$T$1),0)*1.05</f>
        <v>7143.1500000000005</v>
      </c>
      <c r="M784" s="58">
        <f>ROUND((7015*$T$1),0)*1.05</f>
        <v>7365.75</v>
      </c>
      <c r="N784" s="58">
        <f>ROUND((7227*$T$1),0)*1.05</f>
        <v>7588.35</v>
      </c>
      <c r="O784" s="58">
        <f>ROUND((7354*$T$1),0)*1.05</f>
        <v>7721.7000000000007</v>
      </c>
      <c r="P784" s="58">
        <f>ROUND((7736*$T$1),0)*1.05</f>
        <v>8122.8</v>
      </c>
      <c r="Q784" s="58">
        <f>ROUND((8371*$T$1),0)*1.05</f>
        <v>8789.5500000000011</v>
      </c>
    </row>
    <row r="785" spans="1:17" ht="15" customHeight="1" x14ac:dyDescent="0.3">
      <c r="A785" s="42"/>
      <c r="B785" s="44" t="s">
        <v>496</v>
      </c>
      <c r="C785" s="44" t="s">
        <v>45</v>
      </c>
      <c r="D785" s="47">
        <v>2.6</v>
      </c>
      <c r="E785" s="46" t="s">
        <v>47</v>
      </c>
      <c r="F785" s="47">
        <v>1</v>
      </c>
      <c r="G785" s="46" t="s">
        <v>48</v>
      </c>
      <c r="H785" s="47" t="s">
        <v>475</v>
      </c>
      <c r="I785" s="57">
        <v>26.6</v>
      </c>
      <c r="J785" s="58">
        <f>ROUND((5661*$T$1),0)*1.05</f>
        <v>5944.05</v>
      </c>
      <c r="K785" s="58">
        <f>ROUND((6291*$T$1),0)*1.05</f>
        <v>6605.55</v>
      </c>
      <c r="L785" s="58">
        <f>ROUND((6423*$T$1),0)*1.05</f>
        <v>6744.1500000000005</v>
      </c>
      <c r="M785" s="58">
        <f>ROUND((6664*$T$1),0)*1.05</f>
        <v>6997.2000000000007</v>
      </c>
      <c r="N785" s="58">
        <f>ROUND((6866*$T$1),0)*1.05</f>
        <v>7209.3</v>
      </c>
      <c r="O785" s="58">
        <f>ROUND((6987*$T$1),0)*1.05</f>
        <v>7336.35</v>
      </c>
      <c r="P785" s="58">
        <f>ROUND((7349*$T$1),0)*1.05</f>
        <v>7716.4500000000007</v>
      </c>
      <c r="Q785" s="58">
        <f>ROUND((7952*$T$1),0)*1.05</f>
        <v>8349.6</v>
      </c>
    </row>
    <row r="786" spans="1:17" ht="15" customHeight="1" x14ac:dyDescent="0.3">
      <c r="A786" s="42"/>
      <c r="B786" s="44" t="s">
        <v>497</v>
      </c>
      <c r="C786" s="44" t="s">
        <v>45</v>
      </c>
      <c r="D786" s="47">
        <v>2.4</v>
      </c>
      <c r="E786" s="46" t="s">
        <v>47</v>
      </c>
      <c r="F786" s="47">
        <v>1</v>
      </c>
      <c r="G786" s="46" t="s">
        <v>48</v>
      </c>
      <c r="H786" s="47" t="s">
        <v>475</v>
      </c>
      <c r="I786" s="57">
        <v>25.3</v>
      </c>
      <c r="J786" s="58">
        <f>ROUND((5377*$T$1),0)*1.05</f>
        <v>5645.85</v>
      </c>
      <c r="K786" s="58">
        <f>ROUND((5975*$T$1),0)*1.05</f>
        <v>6273.75</v>
      </c>
      <c r="L786" s="58">
        <f>ROUND((6140*$T$1),0)*1.05</f>
        <v>6447</v>
      </c>
      <c r="M786" s="58">
        <f>ROUND((6331*$T$1),0)*1.05</f>
        <v>6647.55</v>
      </c>
      <c r="N786" s="58">
        <f>ROUND((6523*$T$1),0)*1.05</f>
        <v>6849.1500000000005</v>
      </c>
      <c r="O786" s="58">
        <f>ROUND((6638*$T$1),0)*1.05</f>
        <v>6969.9000000000005</v>
      </c>
      <c r="P786" s="58">
        <f>ROUND((6982*$T$1),0)*1.05</f>
        <v>7331.1</v>
      </c>
      <c r="Q786" s="58">
        <f>ROUND((7554*$T$1),0)*1.05</f>
        <v>7931.7000000000007</v>
      </c>
    </row>
    <row r="787" spans="1:17" ht="15" customHeight="1" x14ac:dyDescent="0.3">
      <c r="A787" s="42"/>
      <c r="B787" s="44"/>
      <c r="C787" s="44"/>
      <c r="D787" s="47"/>
      <c r="E787" s="46"/>
      <c r="F787" s="47"/>
      <c r="G787" s="46"/>
      <c r="H787" s="47"/>
      <c r="I787" s="57"/>
      <c r="J787" s="58"/>
      <c r="K787" s="58"/>
      <c r="L787" s="58"/>
      <c r="M787" s="58"/>
      <c r="N787" s="58"/>
      <c r="O787" s="58"/>
      <c r="P787" s="58"/>
      <c r="Q787" s="58"/>
    </row>
    <row r="788" spans="1:17" ht="15" customHeight="1" x14ac:dyDescent="0.3">
      <c r="A788" s="42"/>
      <c r="B788" s="44" t="s">
        <v>498</v>
      </c>
      <c r="C788" s="44" t="s">
        <v>45</v>
      </c>
      <c r="D788" s="47" t="s">
        <v>474</v>
      </c>
      <c r="E788" s="46"/>
      <c r="F788" s="47"/>
      <c r="G788" s="46"/>
      <c r="H788" s="47"/>
      <c r="I788" s="57">
        <v>29.5</v>
      </c>
      <c r="J788" s="58">
        <f>ROUND((1695*$T$1),0)*1.05</f>
        <v>1779.75</v>
      </c>
      <c r="K788" s="58">
        <f>ROUND((1884*$T$1),0)*1.05</f>
        <v>1978.2</v>
      </c>
      <c r="L788" s="58">
        <f>ROUND((2053*$T$1),0)*1.05</f>
        <v>2155.65</v>
      </c>
      <c r="M788" s="58">
        <f>ROUND((2249*$T$1),0)*1.05</f>
        <v>2361.4500000000003</v>
      </c>
      <c r="N788" s="58">
        <f>ROUND((2446*$T$1),0)*1.05</f>
        <v>2568.3000000000002</v>
      </c>
      <c r="O788" s="58">
        <f>ROUND((2566*$T$1),0)*1.05</f>
        <v>2694.3</v>
      </c>
      <c r="P788" s="58">
        <f>ROUND((2920*$T$1),0)*1.05</f>
        <v>3066</v>
      </c>
      <c r="Q788" s="58">
        <f>ROUND((3511*$T$1),0)*1.05</f>
        <v>3686.55</v>
      </c>
    </row>
    <row r="789" spans="1:17" ht="15" customHeight="1" x14ac:dyDescent="0.3">
      <c r="A789" s="42"/>
      <c r="B789" s="44" t="s">
        <v>499</v>
      </c>
      <c r="C789" s="44" t="s">
        <v>45</v>
      </c>
      <c r="D789" s="47" t="s">
        <v>476</v>
      </c>
      <c r="E789" s="46"/>
      <c r="F789" s="47"/>
      <c r="G789" s="46"/>
      <c r="H789" s="47"/>
      <c r="I789" s="57">
        <v>28</v>
      </c>
      <c r="J789" s="58">
        <f>ROUND((1610*$T$1),0)*1.05</f>
        <v>1690.5</v>
      </c>
      <c r="K789" s="58">
        <f>ROUND((1789*$T$1),0)*1.05</f>
        <v>1878.45</v>
      </c>
      <c r="L789" s="58">
        <f>ROUND((1950*$T$1),0)*1.05</f>
        <v>2047.5</v>
      </c>
      <c r="M789" s="58">
        <f>ROUND((2137*$T$1),0)*1.05</f>
        <v>2243.85</v>
      </c>
      <c r="N789" s="58">
        <f>ROUND((2324*$T$1),0)*1.05</f>
        <v>2440.2000000000003</v>
      </c>
      <c r="O789" s="58">
        <f>ROUND((2437*$T$1),0)*1.05</f>
        <v>2558.85</v>
      </c>
      <c r="P789" s="58">
        <f>ROUND((2774*$T$1),0)*1.05</f>
        <v>2912.7000000000003</v>
      </c>
      <c r="Q789" s="58">
        <f>ROUND((3335*$T$1),0)*1.05</f>
        <v>3501.75</v>
      </c>
    </row>
    <row r="790" spans="1:17" ht="15" customHeight="1" x14ac:dyDescent="0.3">
      <c r="A790" s="42"/>
      <c r="B790" s="44" t="s">
        <v>500</v>
      </c>
      <c r="C790" s="44" t="s">
        <v>45</v>
      </c>
      <c r="D790" s="47" t="s">
        <v>478</v>
      </c>
      <c r="E790" s="46"/>
      <c r="F790" s="47"/>
      <c r="G790" s="46"/>
      <c r="H790" s="47"/>
      <c r="I790" s="57">
        <v>26.6</v>
      </c>
      <c r="J790" s="58">
        <f>ROUND((1530*$T$1),0)*1.05</f>
        <v>1606.5</v>
      </c>
      <c r="K790" s="58">
        <f>ROUND((1700*$T$1),0)*1.05</f>
        <v>1785</v>
      </c>
      <c r="L790" s="58">
        <f>ROUND((1853*$T$1),0)*1.05</f>
        <v>1945.65</v>
      </c>
      <c r="M790" s="58">
        <f>ROUND((2030*$T$1),0)*1.05</f>
        <v>2131.5</v>
      </c>
      <c r="N790" s="58">
        <f>ROUND((2208*$T$1),0)*1.05</f>
        <v>2318.4</v>
      </c>
      <c r="O790" s="58">
        <f>ROUND((2315*$T$1),0)*1.05</f>
        <v>2430.75</v>
      </c>
      <c r="P790" s="58">
        <f>ROUND((2635*$T$1),0)*1.05</f>
        <v>2766.75</v>
      </c>
      <c r="Q790" s="58">
        <f>ROUND((3168*$T$1),0)*1.05</f>
        <v>3326.4</v>
      </c>
    </row>
    <row r="791" spans="1:17" ht="15" customHeight="1" x14ac:dyDescent="0.3">
      <c r="A791" s="42"/>
      <c r="B791" s="44" t="s">
        <v>500</v>
      </c>
      <c r="C791" s="44" t="s">
        <v>45</v>
      </c>
      <c r="D791" s="47" t="s">
        <v>479</v>
      </c>
      <c r="E791" s="46"/>
      <c r="F791" s="47"/>
      <c r="G791" s="46"/>
      <c r="H791" s="47"/>
      <c r="I791" s="57">
        <v>25.3</v>
      </c>
      <c r="J791" s="58">
        <f>ROUND((1454*$T$1),0)*1.05</f>
        <v>1526.7</v>
      </c>
      <c r="K791" s="58">
        <f>ROUND((1615*$T$1),0)*1.05</f>
        <v>1695.75</v>
      </c>
      <c r="L791" s="58">
        <f>ROUND((1761*$T$1),0)*1.05</f>
        <v>1849.0500000000002</v>
      </c>
      <c r="M791" s="58">
        <f>ROUND((1929*$T$1),0)*1.05</f>
        <v>2025.45</v>
      </c>
      <c r="N791" s="58">
        <f>ROUND((2098*$T$1),0)*1.05</f>
        <v>2202.9</v>
      </c>
      <c r="O791" s="58">
        <f>ROUND((2199*$T$1),0)*1.05</f>
        <v>2308.9500000000003</v>
      </c>
      <c r="P791" s="58">
        <f>ROUND((2504*$T$1),0)*1.05</f>
        <v>2629.2000000000003</v>
      </c>
      <c r="Q791" s="58">
        <f>ROUND((3010*$T$1),0)*1.05</f>
        <v>3160.5</v>
      </c>
    </row>
    <row r="792" spans="1:17" ht="15" customHeight="1" x14ac:dyDescent="0.3">
      <c r="A792" s="42"/>
      <c r="B792" s="44" t="s">
        <v>501</v>
      </c>
      <c r="C792" s="44" t="s">
        <v>45</v>
      </c>
      <c r="D792" s="47">
        <v>2.2000000000000002</v>
      </c>
      <c r="E792" s="46"/>
      <c r="F792" s="47"/>
      <c r="G792" s="46"/>
      <c r="H792" s="47"/>
      <c r="I792" s="57">
        <v>24.1</v>
      </c>
      <c r="J792" s="58">
        <f>ROUND((1381*$T$1),0)*1.05</f>
        <v>1450.05</v>
      </c>
      <c r="K792" s="58">
        <f>ROUND((1534*$T$1),0)*1.05</f>
        <v>1610.7</v>
      </c>
      <c r="L792" s="58">
        <f>ROUND((1672*$T$1),0)*1.05</f>
        <v>1755.6000000000001</v>
      </c>
      <c r="M792" s="58">
        <f>ROUND((1832*$T$1),0)*1.05</f>
        <v>1923.6000000000001</v>
      </c>
      <c r="N792" s="58">
        <f>ROUND((1993*$T$1),0)*1.05</f>
        <v>2092.65</v>
      </c>
      <c r="O792" s="58">
        <f>ROUND((2090*$T$1),0)*1.05</f>
        <v>2194.5</v>
      </c>
      <c r="P792" s="58">
        <f>ROUND((2378*$T$1),0)*1.05</f>
        <v>2496.9</v>
      </c>
      <c r="Q792" s="58">
        <f>ROUND((2859*$T$1),0)*1.05</f>
        <v>3001.9500000000003</v>
      </c>
    </row>
    <row r="793" spans="1:17" ht="15" customHeight="1" x14ac:dyDescent="0.3">
      <c r="A793" s="42"/>
      <c r="B793" s="44"/>
      <c r="C793" s="44"/>
      <c r="D793" s="47"/>
      <c r="E793" s="46"/>
      <c r="F793" s="47"/>
      <c r="G793" s="46"/>
      <c r="H793" s="47"/>
      <c r="I793" s="57"/>
      <c r="J793" s="58"/>
      <c r="K793" s="58"/>
      <c r="L793" s="58"/>
      <c r="M793" s="58"/>
      <c r="N793" s="58"/>
      <c r="O793" s="58"/>
      <c r="P793" s="58"/>
      <c r="Q793" s="58"/>
    </row>
    <row r="794" spans="1:17" ht="15" customHeight="1" x14ac:dyDescent="0.3">
      <c r="A794" s="113"/>
      <c r="B794" s="139"/>
      <c r="C794" s="129"/>
      <c r="D794" s="130"/>
      <c r="E794" s="131"/>
      <c r="F794" s="130"/>
      <c r="G794" s="131"/>
      <c r="H794" s="130"/>
      <c r="I794" s="132"/>
      <c r="J794" s="133"/>
      <c r="K794" s="133"/>
      <c r="L794" s="133"/>
      <c r="M794" s="87" t="s">
        <v>134</v>
      </c>
      <c r="N794" s="133"/>
      <c r="O794" s="133"/>
      <c r="P794" s="133"/>
      <c r="Q794" s="133"/>
    </row>
    <row r="795" spans="1:17" ht="15" customHeight="1" x14ac:dyDescent="0.3">
      <c r="A795" s="113"/>
      <c r="B795" s="59" t="s">
        <v>502</v>
      </c>
      <c r="C795" s="135"/>
      <c r="D795" s="135"/>
      <c r="E795" s="135"/>
      <c r="F795" s="135"/>
      <c r="G795" s="135"/>
      <c r="H795" s="135"/>
      <c r="I795" s="136"/>
      <c r="J795" s="137"/>
      <c r="K795" s="137"/>
      <c r="L795" s="137"/>
      <c r="M795" s="137"/>
      <c r="N795" s="137"/>
      <c r="O795" s="137"/>
      <c r="P795" s="137"/>
      <c r="Q795" s="137"/>
    </row>
    <row r="796" spans="1:17" ht="15" customHeight="1" x14ac:dyDescent="0.3">
      <c r="A796" s="63"/>
      <c r="B796" s="63"/>
      <c r="C796" s="63"/>
      <c r="D796" s="63"/>
      <c r="E796" s="63"/>
      <c r="F796" s="63"/>
      <c r="G796" s="63"/>
      <c r="H796" s="63"/>
      <c r="I796" s="48"/>
      <c r="J796" s="49"/>
      <c r="K796" s="49"/>
      <c r="L796" s="49"/>
      <c r="M796" s="49"/>
      <c r="N796" s="49"/>
      <c r="O796" s="49"/>
      <c r="P796" s="49"/>
      <c r="Q796" s="49"/>
    </row>
    <row r="797" spans="1:17" ht="29.1" customHeight="1" x14ac:dyDescent="0.25">
      <c r="A797" s="127" t="s">
        <v>503</v>
      </c>
      <c r="B797" s="77"/>
      <c r="C797" s="187" t="s">
        <v>41</v>
      </c>
      <c r="D797" s="187"/>
      <c r="E797" s="187"/>
      <c r="F797" s="187"/>
      <c r="G797" s="187"/>
      <c r="H797" s="187"/>
      <c r="I797" s="78" t="s">
        <v>42</v>
      </c>
      <c r="J797" s="41" t="s">
        <v>43</v>
      </c>
      <c r="K797" s="41">
        <v>1000</v>
      </c>
      <c r="L797" s="41">
        <v>2000</v>
      </c>
      <c r="M797" s="41">
        <v>3000</v>
      </c>
      <c r="N797" s="41">
        <v>4000</v>
      </c>
      <c r="O797" s="41">
        <v>5000</v>
      </c>
      <c r="P797" s="41">
        <v>6000</v>
      </c>
      <c r="Q797" s="41">
        <v>7000</v>
      </c>
    </row>
    <row r="798" spans="1:17" ht="15" customHeight="1" x14ac:dyDescent="0.3">
      <c r="A798" s="42"/>
      <c r="B798" s="43" t="s">
        <v>504</v>
      </c>
      <c r="C798" s="44" t="s">
        <v>45</v>
      </c>
      <c r="D798" s="47" t="s">
        <v>138</v>
      </c>
      <c r="E798" s="46" t="s">
        <v>47</v>
      </c>
      <c r="F798" s="47" t="s">
        <v>505</v>
      </c>
      <c r="G798" s="46" t="s">
        <v>48</v>
      </c>
      <c r="H798" s="47" t="s">
        <v>506</v>
      </c>
      <c r="I798" s="48">
        <v>14</v>
      </c>
      <c r="J798" s="49">
        <f>ROUND((4595*$T$1),0)*1.05</f>
        <v>4824.75</v>
      </c>
      <c r="K798" s="49">
        <f>ROUND((5106*$T$1),0)*1.05</f>
        <v>5361.3</v>
      </c>
      <c r="L798" s="49">
        <f>ROUND((5193*$T$1),0)*1.05</f>
        <v>5452.6500000000005</v>
      </c>
      <c r="M798" s="49">
        <f>ROUND((5295*$T$1),0)*1.05</f>
        <v>5559.75</v>
      </c>
      <c r="N798" s="49">
        <f>ROUND((5396*$T$1),0)*1.05</f>
        <v>5665.8</v>
      </c>
      <c r="O798" s="49">
        <f>ROUND((5457*$T$1),0)*1.05</f>
        <v>5729.85</v>
      </c>
      <c r="P798" s="49">
        <f>ROUND((5638*$T$1),0)*1.05</f>
        <v>5919.9000000000005</v>
      </c>
      <c r="Q798" s="49">
        <f>ROUND((5941*$T$1),0)*1.05</f>
        <v>6238.05</v>
      </c>
    </row>
    <row r="799" spans="1:17" ht="15" customHeight="1" x14ac:dyDescent="0.3">
      <c r="A799" s="42"/>
      <c r="B799" s="43" t="s">
        <v>507</v>
      </c>
      <c r="C799" s="44" t="s">
        <v>45</v>
      </c>
      <c r="D799" s="47" t="s">
        <v>138</v>
      </c>
      <c r="E799" s="46" t="s">
        <v>47</v>
      </c>
      <c r="F799" s="47" t="s">
        <v>505</v>
      </c>
      <c r="G799" s="46" t="s">
        <v>48</v>
      </c>
      <c r="H799" s="47" t="s">
        <v>506</v>
      </c>
      <c r="I799" s="48">
        <v>13.3</v>
      </c>
      <c r="J799" s="49">
        <f>ROUND((4365*$T$1),0)*1.05</f>
        <v>4583.25</v>
      </c>
      <c r="K799" s="49">
        <f>ROUND((4851*$T$1),0)*1.05</f>
        <v>5093.55</v>
      </c>
      <c r="L799" s="49">
        <f>ROUND((4934*$T$1),0)*1.05</f>
        <v>5180.7</v>
      </c>
      <c r="M799" s="49">
        <f>ROUND((5030*$T$1),0)*1.05</f>
        <v>5281.5</v>
      </c>
      <c r="N799" s="49">
        <f>ROUND((5126*$T$1),0)*1.05</f>
        <v>5382.3</v>
      </c>
      <c r="O799" s="49">
        <f>ROUND((5184*$T$1),0)*1.05</f>
        <v>5443.2</v>
      </c>
      <c r="P799" s="49">
        <f>ROUND((5357*$T$1),0)*1.05</f>
        <v>5624.85</v>
      </c>
      <c r="Q799" s="49">
        <f>ROUND((5644*$T$1),0)*1.05</f>
        <v>5926.2</v>
      </c>
    </row>
    <row r="800" spans="1:17" ht="15" customHeight="1" x14ac:dyDescent="0.3">
      <c r="A800" s="42"/>
      <c r="B800" s="43" t="s">
        <v>507</v>
      </c>
      <c r="C800" s="44" t="s">
        <v>45</v>
      </c>
      <c r="D800" s="47" t="s">
        <v>299</v>
      </c>
      <c r="E800" s="46" t="s">
        <v>47</v>
      </c>
      <c r="F800" s="47" t="s">
        <v>505</v>
      </c>
      <c r="G800" s="46" t="s">
        <v>48</v>
      </c>
      <c r="H800" s="47" t="s">
        <v>506</v>
      </c>
      <c r="I800" s="48">
        <v>12.7</v>
      </c>
      <c r="J800" s="49">
        <f>ROUND((4147*$T$1),0)*1.05</f>
        <v>4354.3500000000004</v>
      </c>
      <c r="K800" s="49">
        <f>ROUND((4608*$T$1),0)*1.05</f>
        <v>4838.4000000000005</v>
      </c>
      <c r="L800" s="49">
        <f>ROUND((4687*$T$1),0)*1.05</f>
        <v>4921.3500000000004</v>
      </c>
      <c r="M800" s="49">
        <f>ROUND((4778*$T$1),0)*1.05</f>
        <v>5016.9000000000005</v>
      </c>
      <c r="N800" s="49">
        <f>ROUND((4870*$T$1),0)*1.05</f>
        <v>5113.5</v>
      </c>
      <c r="O800" s="49">
        <f>ROUND((4924*$T$1),0)*1.05</f>
        <v>5170.2</v>
      </c>
      <c r="P800" s="49">
        <f>ROUND((5089*$T$1),0)*1.05</f>
        <v>5343.45</v>
      </c>
      <c r="Q800" s="49">
        <f>ROUND((5361*$T$1),0)*1.05</f>
        <v>5629.05</v>
      </c>
    </row>
    <row r="801" spans="1:17" ht="15" customHeight="1" x14ac:dyDescent="0.3">
      <c r="A801" s="42"/>
      <c r="B801" s="43" t="s">
        <v>508</v>
      </c>
      <c r="C801" s="44" t="s">
        <v>45</v>
      </c>
      <c r="D801" s="47" t="s">
        <v>301</v>
      </c>
      <c r="E801" s="46" t="s">
        <v>47</v>
      </c>
      <c r="F801" s="47" t="s">
        <v>505</v>
      </c>
      <c r="G801" s="46" t="s">
        <v>48</v>
      </c>
      <c r="H801" s="47" t="s">
        <v>506</v>
      </c>
      <c r="I801" s="48">
        <v>12.7</v>
      </c>
      <c r="J801" s="49">
        <f>ROUND((3940*$T$1),0)*1.05</f>
        <v>4137</v>
      </c>
      <c r="K801" s="49">
        <f>ROUND((4378*$T$1),0)*1.05</f>
        <v>4596.9000000000005</v>
      </c>
      <c r="L801" s="49">
        <f>ROUND((4453*$T$1),0)*1.05</f>
        <v>4675.6500000000005</v>
      </c>
      <c r="M801" s="49">
        <f>ROUND((4539*$T$1),0)*1.05</f>
        <v>4765.95</v>
      </c>
      <c r="N801" s="49">
        <f>ROUND((4626*$T$1),0)*1.05</f>
        <v>4857.3</v>
      </c>
      <c r="O801" s="49">
        <f>ROUND((4678*$T$1),0)*1.05</f>
        <v>4911.9000000000005</v>
      </c>
      <c r="P801" s="49">
        <f>ROUND((4835*$T$1),0)*1.05</f>
        <v>5076.75</v>
      </c>
      <c r="Q801" s="49">
        <f>ROUND((5063*$T$1),0)*1.05</f>
        <v>5316.1500000000005</v>
      </c>
    </row>
    <row r="802" spans="1:17" ht="15" customHeight="1" x14ac:dyDescent="0.3">
      <c r="A802" s="42"/>
      <c r="B802" s="43" t="s">
        <v>101</v>
      </c>
      <c r="C802" s="44" t="s">
        <v>45</v>
      </c>
      <c r="D802" s="47">
        <v>2</v>
      </c>
      <c r="E802" s="46" t="s">
        <v>47</v>
      </c>
      <c r="F802" s="47" t="s">
        <v>505</v>
      </c>
      <c r="G802" s="46" t="s">
        <v>48</v>
      </c>
      <c r="H802" s="47" t="s">
        <v>506</v>
      </c>
      <c r="I802" s="48">
        <v>12.1</v>
      </c>
      <c r="J802" s="49">
        <f>ROUND((3743*$T$1),0)*1.05</f>
        <v>3930.15</v>
      </c>
      <c r="K802" s="49">
        <f>ROUND((4158*$T$1),0)*1.05</f>
        <v>4365.9000000000005</v>
      </c>
      <c r="L802" s="49">
        <f>ROUND((4230*$T$1),0)*1.05</f>
        <v>4441.5</v>
      </c>
      <c r="M802" s="49">
        <f>ROUND((4313*$T$1),0)*1.05</f>
        <v>4528.6500000000005</v>
      </c>
      <c r="N802" s="49">
        <f>ROUND((4395*$T$1),0)*1.05</f>
        <v>4614.75</v>
      </c>
      <c r="O802" s="49">
        <f>ROUND((4445*$T$1),0)*1.05</f>
        <v>4667.25</v>
      </c>
      <c r="P802" s="49">
        <f>ROUND((4593*$T$1),0)*1.05</f>
        <v>4822.6500000000005</v>
      </c>
      <c r="Q802" s="49">
        <f>ROUND((4839*$T$1),0)*1.05</f>
        <v>5080.95</v>
      </c>
    </row>
    <row r="803" spans="1:17" ht="15" customHeight="1" x14ac:dyDescent="0.3">
      <c r="A803" s="42"/>
      <c r="B803" s="43" t="s">
        <v>101</v>
      </c>
      <c r="C803" s="44" t="s">
        <v>45</v>
      </c>
      <c r="D803" s="47" t="s">
        <v>509</v>
      </c>
      <c r="E803" s="46" t="s">
        <v>47</v>
      </c>
      <c r="F803" s="47" t="s">
        <v>505</v>
      </c>
      <c r="G803" s="46" t="s">
        <v>48</v>
      </c>
      <c r="H803" s="47" t="s">
        <v>506</v>
      </c>
      <c r="I803" s="48">
        <v>8.5</v>
      </c>
      <c r="J803" s="49">
        <f>ROUND((2758*$T$1),0)*1.05</f>
        <v>2895.9</v>
      </c>
      <c r="K803" s="49">
        <f>ROUND((3065*$T$1),0)*1.05</f>
        <v>3218.25</v>
      </c>
      <c r="L803" s="49">
        <f>ROUND((3117*$T$1),0)*1.05</f>
        <v>3272.8500000000004</v>
      </c>
      <c r="M803" s="49">
        <f>ROUND((3177*$T$1),0)*1.05</f>
        <v>3335.8500000000004</v>
      </c>
      <c r="N803" s="49">
        <f>ROUND((3238*$T$1),0)*1.05</f>
        <v>3399.9</v>
      </c>
      <c r="O803" s="49">
        <f>ROUND((3275*$T$1),0)*1.05</f>
        <v>3438.75</v>
      </c>
      <c r="P803" s="49">
        <f>ROUND((3384*$T$1),0)*1.05</f>
        <v>3553.2000000000003</v>
      </c>
      <c r="Q803" s="49">
        <f>ROUND((3565*$T$1),0)*1.05</f>
        <v>3743.25</v>
      </c>
    </row>
    <row r="804" spans="1:17" ht="15" customHeight="1" x14ac:dyDescent="0.3">
      <c r="A804" s="42"/>
      <c r="B804" s="43" t="s">
        <v>510</v>
      </c>
      <c r="C804" s="44" t="s">
        <v>45</v>
      </c>
      <c r="D804" s="47" t="s">
        <v>509</v>
      </c>
      <c r="E804" s="46" t="s">
        <v>47</v>
      </c>
      <c r="F804" s="47" t="s">
        <v>505</v>
      </c>
      <c r="G804" s="46" t="s">
        <v>48</v>
      </c>
      <c r="H804" s="47" t="s">
        <v>506</v>
      </c>
      <c r="I804" s="48">
        <v>8.3000000000000007</v>
      </c>
      <c r="J804" s="49">
        <f>ROUND((2675*$T$1),0)*1.05</f>
        <v>2808.75</v>
      </c>
      <c r="K804" s="49">
        <f>ROUND((2973*$T$1),0)*1.05</f>
        <v>3121.65</v>
      </c>
      <c r="L804" s="49">
        <f>ROUND((3023*$T$1),0)*1.05</f>
        <v>3174.15</v>
      </c>
      <c r="M804" s="49">
        <f>ROUND((3082*$T$1),0)*1.05</f>
        <v>3236.1000000000004</v>
      </c>
      <c r="N804" s="49">
        <f>ROUND((3141*$T$1),0)*1.05</f>
        <v>3298.05</v>
      </c>
      <c r="O804" s="49">
        <f>ROUND((3176*$T$1),0)*1.05</f>
        <v>3334.8</v>
      </c>
      <c r="P804" s="49">
        <f>ROUND((3282*$T$1),0)*1.05</f>
        <v>3446.1000000000004</v>
      </c>
      <c r="Q804" s="49">
        <f>ROUND((3458*$T$1),0)*1.05</f>
        <v>3630.9</v>
      </c>
    </row>
    <row r="805" spans="1:17" ht="15" customHeight="1" x14ac:dyDescent="0.3">
      <c r="A805" s="42"/>
      <c r="B805" s="44"/>
      <c r="C805" s="44"/>
      <c r="D805" s="47"/>
      <c r="E805" s="46"/>
      <c r="F805" s="47"/>
      <c r="G805" s="46"/>
      <c r="H805" s="47"/>
      <c r="I805" s="57"/>
      <c r="J805" s="58"/>
      <c r="K805" s="58"/>
      <c r="L805" s="58"/>
      <c r="M805" s="87" t="s">
        <v>134</v>
      </c>
      <c r="N805" s="58"/>
      <c r="O805" s="58"/>
      <c r="P805" s="58"/>
      <c r="Q805" s="58"/>
    </row>
    <row r="806" spans="1:17" ht="15" customHeight="1" x14ac:dyDescent="0.3">
      <c r="A806" s="42"/>
      <c r="B806" s="59" t="s">
        <v>511</v>
      </c>
      <c r="C806" s="59"/>
      <c r="D806" s="59"/>
      <c r="E806" s="59"/>
      <c r="F806" s="59"/>
      <c r="G806" s="59"/>
      <c r="H806" s="59"/>
      <c r="I806" s="61"/>
      <c r="J806" s="62"/>
      <c r="K806" s="62"/>
      <c r="L806" s="62"/>
      <c r="M806" s="62"/>
      <c r="N806" s="62"/>
      <c r="O806" s="62"/>
      <c r="P806" s="62"/>
      <c r="Q806" s="62"/>
    </row>
    <row r="807" spans="1:17" ht="15" customHeight="1" x14ac:dyDescent="0.3">
      <c r="A807" s="63"/>
      <c r="B807" s="63"/>
      <c r="C807" s="63"/>
      <c r="D807" s="63"/>
      <c r="E807" s="63"/>
      <c r="F807" s="63"/>
      <c r="G807" s="63"/>
      <c r="H807" s="63"/>
      <c r="I807" s="48"/>
      <c r="J807" s="49"/>
      <c r="K807" s="49"/>
      <c r="L807" s="49"/>
      <c r="M807" s="49"/>
      <c r="N807" s="49"/>
      <c r="O807" s="49"/>
      <c r="P807" s="49"/>
      <c r="Q807" s="49"/>
    </row>
    <row r="808" spans="1:17" ht="29.1" customHeight="1" x14ac:dyDescent="0.25">
      <c r="A808" s="127" t="s">
        <v>512</v>
      </c>
      <c r="B808" s="77"/>
      <c r="C808" s="187" t="s">
        <v>41</v>
      </c>
      <c r="D808" s="187"/>
      <c r="E808" s="187"/>
      <c r="F808" s="187"/>
      <c r="G808" s="187"/>
      <c r="H808" s="187"/>
      <c r="I808" s="78" t="s">
        <v>42</v>
      </c>
      <c r="J808" s="41" t="s">
        <v>43</v>
      </c>
      <c r="K808" s="41">
        <v>1000</v>
      </c>
      <c r="L808" s="41">
        <v>2000</v>
      </c>
      <c r="M808" s="41">
        <v>3000</v>
      </c>
      <c r="N808" s="41">
        <v>4000</v>
      </c>
      <c r="O808" s="41">
        <v>5000</v>
      </c>
      <c r="P808" s="41">
        <v>6000</v>
      </c>
      <c r="Q808" s="41">
        <v>7000</v>
      </c>
    </row>
    <row r="809" spans="1:17" ht="15" customHeight="1" x14ac:dyDescent="0.3">
      <c r="A809" s="42"/>
      <c r="B809" s="43" t="s">
        <v>122</v>
      </c>
      <c r="C809" s="44" t="s">
        <v>45</v>
      </c>
      <c r="D809" s="45" t="s">
        <v>52</v>
      </c>
      <c r="E809" s="46" t="s">
        <v>47</v>
      </c>
      <c r="F809" s="47">
        <v>0.9</v>
      </c>
      <c r="G809" s="46" t="s">
        <v>48</v>
      </c>
      <c r="H809" s="47">
        <v>0.73</v>
      </c>
      <c r="I809" s="48">
        <v>7</v>
      </c>
      <c r="J809" s="49">
        <f>ROUND((3394*$T$1),0)*1.05</f>
        <v>3563.7000000000003</v>
      </c>
      <c r="K809" s="49">
        <f>ROUND((3771*$T$1),0)*1.05</f>
        <v>3959.55</v>
      </c>
      <c r="L809" s="49">
        <f>ROUND((3810*$T$1),0)*1.05</f>
        <v>4000.5</v>
      </c>
      <c r="M809" s="49">
        <f>ROUND((3855*$T$1),0)*1.05</f>
        <v>4047.75</v>
      </c>
      <c r="N809" s="49">
        <f>ROUND((3899*$T$1),0)*1.05</f>
        <v>4093.9500000000003</v>
      </c>
      <c r="O809" s="49">
        <f>ROUND((3926*$T$1),0)*1.05</f>
        <v>4122.3</v>
      </c>
      <c r="P809" s="49">
        <f>ROUND((3923*$T$1),0)*1.05</f>
        <v>4119.1500000000005</v>
      </c>
      <c r="Q809" s="49">
        <f>ROUND((4030*$T$1),0)*1.05</f>
        <v>4231.5</v>
      </c>
    </row>
    <row r="810" spans="1:17" ht="15" customHeight="1" x14ac:dyDescent="0.3">
      <c r="A810" s="42"/>
      <c r="B810" s="43" t="s">
        <v>101</v>
      </c>
      <c r="C810" s="44" t="s">
        <v>45</v>
      </c>
      <c r="D810" s="45" t="s">
        <v>513</v>
      </c>
      <c r="E810" s="46" t="s">
        <v>47</v>
      </c>
      <c r="F810" s="47">
        <v>0.9</v>
      </c>
      <c r="G810" s="46" t="s">
        <v>48</v>
      </c>
      <c r="H810" s="47">
        <v>0.73</v>
      </c>
      <c r="I810" s="48">
        <v>9</v>
      </c>
      <c r="J810" s="49">
        <f>ROUND((4329*$T$1),0)*1.05</f>
        <v>4545.45</v>
      </c>
      <c r="K810" s="49">
        <f>ROUND((4809*$T$1),0)*1.05</f>
        <v>5049.45</v>
      </c>
      <c r="L810" s="49">
        <f>ROUND((4865*$T$1),0)*1.05</f>
        <v>5108.25</v>
      </c>
      <c r="M810" s="49">
        <f>ROUND((4929*$T$1),0)*1.05</f>
        <v>5175.45</v>
      </c>
      <c r="N810" s="49">
        <f>ROUND((4992*$T$1),0)*1.05</f>
        <v>5241.6000000000004</v>
      </c>
      <c r="O810" s="49">
        <f>ROUND((5031*$T$1),0)*1.05</f>
        <v>5282.55</v>
      </c>
      <c r="P810" s="49">
        <f>ROUND((5146*$T$1),0)*1.05</f>
        <v>5403.3</v>
      </c>
      <c r="Q810" s="49">
        <f>ROUND((5337*$T$1),0)*1.05</f>
        <v>5603.85</v>
      </c>
    </row>
    <row r="811" spans="1:17" ht="15" customHeight="1" x14ac:dyDescent="0.3">
      <c r="A811" s="42"/>
      <c r="B811" s="43" t="s">
        <v>508</v>
      </c>
      <c r="C811" s="44" t="s">
        <v>45</v>
      </c>
      <c r="D811" s="45" t="s">
        <v>479</v>
      </c>
      <c r="E811" s="46" t="s">
        <v>47</v>
      </c>
      <c r="F811" s="47">
        <v>0.9</v>
      </c>
      <c r="G811" s="46" t="s">
        <v>48</v>
      </c>
      <c r="H811" s="47">
        <v>0.73</v>
      </c>
      <c r="I811" s="48">
        <v>10</v>
      </c>
      <c r="J811" s="49">
        <f>ROUND((5223*$T$1),0)*1.05</f>
        <v>5484.1500000000005</v>
      </c>
      <c r="K811" s="49">
        <f>ROUND((5804*$T$1),0)*1.05</f>
        <v>6094.2</v>
      </c>
      <c r="L811" s="49">
        <f>ROUND((5867*$T$1),0)*1.05</f>
        <v>6160.35</v>
      </c>
      <c r="M811" s="49">
        <f>ROUND((5941*$T$1),0)*1.05</f>
        <v>6238.05</v>
      </c>
      <c r="N811" s="49">
        <f>ROUND((6013*$T$1),0)*1.05</f>
        <v>6313.6500000000005</v>
      </c>
      <c r="O811" s="49">
        <f>ROUND((6058*$T$1),0)*1.05</f>
        <v>6360.9000000000005</v>
      </c>
      <c r="P811" s="49">
        <f>ROUND((6189*$T$1),0)*1.05</f>
        <v>6498.4500000000007</v>
      </c>
      <c r="Q811" s="49">
        <f>ROUND((6409*$T$1),0)*1.05</f>
        <v>6729.4500000000007</v>
      </c>
    </row>
    <row r="812" spans="1:17" ht="15" customHeight="1" x14ac:dyDescent="0.3">
      <c r="A812" s="42"/>
      <c r="B812" s="43" t="s">
        <v>507</v>
      </c>
      <c r="C812" s="44" t="s">
        <v>45</v>
      </c>
      <c r="D812" s="45" t="s">
        <v>514</v>
      </c>
      <c r="E812" s="46" t="s">
        <v>47</v>
      </c>
      <c r="F812" s="47">
        <v>0.9</v>
      </c>
      <c r="G812" s="46" t="s">
        <v>48</v>
      </c>
      <c r="H812" s="47">
        <v>0.73</v>
      </c>
      <c r="I812" s="48">
        <v>11</v>
      </c>
      <c r="J812" s="49">
        <f>ROUND((5402*$T$1),0)*1.05</f>
        <v>5672.1</v>
      </c>
      <c r="K812" s="49">
        <f>ROUND((6002*$T$1),0)*1.05</f>
        <v>6302.1</v>
      </c>
      <c r="L812" s="49">
        <f>ROUND((6074*$T$1),0)*1.05</f>
        <v>6377.7</v>
      </c>
      <c r="M812" s="49">
        <f>ROUND((6157*$T$1),0)*1.05</f>
        <v>6464.85</v>
      </c>
      <c r="N812" s="49">
        <f>ROUND((6241*$T$1),0)*1.05</f>
        <v>6553.05</v>
      </c>
      <c r="O812" s="49">
        <f>ROUND((6293*$T$1),0)*1.05</f>
        <v>6607.6500000000005</v>
      </c>
      <c r="P812" s="49">
        <f>ROUND((6443*$T$1),0)*1.05</f>
        <v>6765.1500000000005</v>
      </c>
      <c r="Q812" s="49">
        <f>ROUND((6694*$T$1),0)*1.05</f>
        <v>7028.7000000000007</v>
      </c>
    </row>
    <row r="813" spans="1:17" ht="15" customHeight="1" x14ac:dyDescent="0.3">
      <c r="A813" s="42"/>
      <c r="B813" s="43" t="s">
        <v>507</v>
      </c>
      <c r="C813" s="44" t="s">
        <v>45</v>
      </c>
      <c r="D813" s="45" t="s">
        <v>474</v>
      </c>
      <c r="E813" s="46" t="s">
        <v>47</v>
      </c>
      <c r="F813" s="47">
        <v>0.9</v>
      </c>
      <c r="G813" s="46" t="s">
        <v>48</v>
      </c>
      <c r="H813" s="47">
        <v>0.73</v>
      </c>
      <c r="I813" s="48">
        <v>12</v>
      </c>
      <c r="J813" s="49">
        <f>ROUND((5568*$T$1),0)*1.05</f>
        <v>5846.4000000000005</v>
      </c>
      <c r="K813" s="49">
        <f>ROUND((6187*$T$1),0)*1.05</f>
        <v>6496.35</v>
      </c>
      <c r="L813" s="49">
        <f>ROUND((6262*$T$1),0)*1.05</f>
        <v>6575.1</v>
      </c>
      <c r="M813" s="49">
        <f>ROUND((6348*$T$1),0)*1.05</f>
        <v>6665.4000000000005</v>
      </c>
      <c r="N813" s="49">
        <f>ROUND((3434*$T$1),0)*1.05</f>
        <v>3605.7000000000003</v>
      </c>
      <c r="O813" s="49">
        <f>ROUND((6487*$T$1),0)*1.05</f>
        <v>6811.35</v>
      </c>
      <c r="P813" s="49">
        <f>ROUND((6642*$T$1),0)*1.05</f>
        <v>6974.1</v>
      </c>
      <c r="Q813" s="49">
        <f>ROUND((6901*$T$1),0)*1.05</f>
        <v>7246.05</v>
      </c>
    </row>
    <row r="814" spans="1:17" ht="15" customHeight="1" x14ac:dyDescent="0.3">
      <c r="A814" s="42"/>
      <c r="B814" s="44"/>
      <c r="C814" s="44"/>
      <c r="D814" s="47"/>
      <c r="E814" s="46"/>
      <c r="F814" s="47"/>
      <c r="G814" s="46"/>
      <c r="H814" s="47"/>
      <c r="I814" s="57"/>
      <c r="J814" s="58"/>
      <c r="K814" s="58"/>
      <c r="L814" s="58"/>
      <c r="M814" s="87" t="s">
        <v>134</v>
      </c>
      <c r="N814" s="58"/>
      <c r="O814" s="58"/>
      <c r="P814" s="58"/>
      <c r="Q814" s="58"/>
    </row>
    <row r="815" spans="1:17" ht="15" customHeight="1" x14ac:dyDescent="0.3">
      <c r="A815" s="42"/>
      <c r="B815" s="59" t="s">
        <v>515</v>
      </c>
      <c r="C815" s="59"/>
      <c r="D815" s="59"/>
      <c r="E815" s="59"/>
      <c r="F815" s="59"/>
      <c r="G815" s="59"/>
      <c r="H815" s="59"/>
      <c r="I815" s="61"/>
      <c r="J815" s="62"/>
      <c r="K815" s="62"/>
      <c r="L815" s="62"/>
      <c r="M815" s="62"/>
      <c r="N815" s="62"/>
      <c r="O815" s="62"/>
      <c r="P815" s="62"/>
      <c r="Q815" s="62"/>
    </row>
    <row r="816" spans="1:17" ht="15" customHeight="1" x14ac:dyDescent="0.3">
      <c r="A816" s="63"/>
      <c r="B816" s="63"/>
      <c r="C816" s="63"/>
      <c r="D816" s="63"/>
      <c r="E816" s="63"/>
      <c r="F816" s="63"/>
      <c r="G816" s="63"/>
      <c r="H816" s="63"/>
      <c r="I816" s="48"/>
      <c r="J816" s="49"/>
      <c r="K816" s="49"/>
      <c r="L816" s="49"/>
      <c r="M816" s="49"/>
      <c r="N816" s="49"/>
      <c r="O816" s="49"/>
      <c r="P816" s="49"/>
      <c r="Q816" s="49"/>
    </row>
    <row r="817" spans="1:17" ht="29.1" customHeight="1" x14ac:dyDescent="0.25">
      <c r="A817" s="127" t="s">
        <v>516</v>
      </c>
      <c r="B817" s="77"/>
      <c r="C817" s="187" t="s">
        <v>41</v>
      </c>
      <c r="D817" s="187"/>
      <c r="E817" s="187"/>
      <c r="F817" s="187"/>
      <c r="G817" s="187"/>
      <c r="H817" s="187"/>
      <c r="I817" s="78" t="s">
        <v>42</v>
      </c>
      <c r="J817" s="41" t="s">
        <v>43</v>
      </c>
      <c r="K817" s="41">
        <v>1000</v>
      </c>
      <c r="L817" s="41">
        <v>2000</v>
      </c>
      <c r="M817" s="41">
        <v>3000</v>
      </c>
      <c r="N817" s="41">
        <v>4000</v>
      </c>
      <c r="O817" s="41">
        <v>5000</v>
      </c>
      <c r="P817" s="41">
        <v>6000</v>
      </c>
      <c r="Q817" s="41">
        <v>7000</v>
      </c>
    </row>
    <row r="818" spans="1:17" ht="15" customHeight="1" x14ac:dyDescent="0.3">
      <c r="A818" s="42"/>
      <c r="B818" s="44" t="s">
        <v>101</v>
      </c>
      <c r="C818" s="44" t="s">
        <v>45</v>
      </c>
      <c r="D818" s="47">
        <v>1.8</v>
      </c>
      <c r="E818" s="46" t="s">
        <v>47</v>
      </c>
      <c r="F818" s="47">
        <v>0.84</v>
      </c>
      <c r="G818" s="46" t="s">
        <v>48</v>
      </c>
      <c r="H818" s="47">
        <v>0.71</v>
      </c>
      <c r="I818" s="48">
        <v>8.5</v>
      </c>
      <c r="J818" s="49">
        <f>ROUND((2923*$T$1),0)*1.05</f>
        <v>3069.15</v>
      </c>
      <c r="K818" s="49">
        <f>ROUND((3249*$T$1),0)*1.05</f>
        <v>3411.4500000000003</v>
      </c>
      <c r="L818" s="49">
        <f>ROUND((3297*$T$1),0)*1.05</f>
        <v>3461.8500000000004</v>
      </c>
      <c r="M818" s="49">
        <f>ROUND((3353*$T$1),0)*1.05</f>
        <v>3520.65</v>
      </c>
      <c r="N818" s="49">
        <f>ROUND((3410*$T$1),0)*1.05</f>
        <v>3580.5</v>
      </c>
      <c r="O818" s="49">
        <f>ROUND((3444*$T$1),0)*1.05</f>
        <v>3616.2000000000003</v>
      </c>
      <c r="P818" s="49">
        <f>ROUND((3545*$T$1),0)*1.05</f>
        <v>3722.25</v>
      </c>
      <c r="Q818" s="49">
        <f>ROUND((3715*$T$1),0)*1.05</f>
        <v>3900.75</v>
      </c>
    </row>
    <row r="819" spans="1:17" ht="15" customHeight="1" x14ac:dyDescent="0.3">
      <c r="A819" s="42"/>
      <c r="B819" s="44" t="s">
        <v>508</v>
      </c>
      <c r="C819" s="44" t="s">
        <v>45</v>
      </c>
      <c r="D819" s="47">
        <v>2.2000000000000002</v>
      </c>
      <c r="E819" s="46" t="s">
        <v>47</v>
      </c>
      <c r="F819" s="47">
        <v>0.84</v>
      </c>
      <c r="G819" s="46" t="s">
        <v>48</v>
      </c>
      <c r="H819" s="47">
        <v>0.71</v>
      </c>
      <c r="I819" s="48">
        <v>8.8000000000000007</v>
      </c>
      <c r="J819" s="49">
        <f>ROUND((3045*$T$1),0)*1.05</f>
        <v>3197.25</v>
      </c>
      <c r="K819" s="49">
        <f>ROUND((3384*$T$1),0)*1.05</f>
        <v>3553.2000000000003</v>
      </c>
      <c r="L819" s="49">
        <f>ROUND((3435*$T$1),0)*1.05</f>
        <v>3606.75</v>
      </c>
      <c r="M819" s="49">
        <f>ROUND((3494*$T$1),0)*1.05</f>
        <v>3668.7000000000003</v>
      </c>
      <c r="N819" s="49">
        <f>ROUND((3552*$T$1),0)*1.05</f>
        <v>3729.6000000000004</v>
      </c>
      <c r="O819" s="49">
        <f>ROUND((3587*$T$1),0)*1.05</f>
        <v>3766.3500000000004</v>
      </c>
      <c r="P819" s="49">
        <f>ROUND((3694*$T$1),0)*1.05</f>
        <v>3878.7000000000003</v>
      </c>
      <c r="Q819" s="49">
        <f>ROUND((3869*$T$1),0)*1.05</f>
        <v>4062.4500000000003</v>
      </c>
    </row>
    <row r="820" spans="1:17" ht="15" customHeight="1" x14ac:dyDescent="0.3">
      <c r="A820" s="42"/>
      <c r="B820" s="44" t="s">
        <v>508</v>
      </c>
      <c r="C820" s="44" t="s">
        <v>45</v>
      </c>
      <c r="D820" s="47">
        <v>2.4</v>
      </c>
      <c r="E820" s="46" t="s">
        <v>47</v>
      </c>
      <c r="F820" s="47">
        <v>0.84</v>
      </c>
      <c r="G820" s="46" t="s">
        <v>48</v>
      </c>
      <c r="H820" s="47">
        <v>0.71</v>
      </c>
      <c r="I820" s="48">
        <v>8.9</v>
      </c>
      <c r="J820" s="49">
        <f>ROUND((3107*$T$1),0)*1.05</f>
        <v>3262.3500000000004</v>
      </c>
      <c r="K820" s="49">
        <f>ROUND((3453*$T$1),0)*1.05</f>
        <v>3625.65</v>
      </c>
      <c r="L820" s="49">
        <f>ROUND((3505*$T$1),0)*1.05</f>
        <v>3680.25</v>
      </c>
      <c r="M820" s="49">
        <f>ROUND((3565*$T$1),0)*1.05</f>
        <v>3743.25</v>
      </c>
      <c r="N820" s="49">
        <f>ROUND((3625*$T$1),0)*1.05</f>
        <v>3806.25</v>
      </c>
      <c r="O820" s="49">
        <f>ROUND((3660*$T$1),0)*1.05</f>
        <v>3843</v>
      </c>
      <c r="P820" s="49">
        <f>ROUND((3769*$T$1),0)*1.05</f>
        <v>3957.4500000000003</v>
      </c>
      <c r="Q820" s="49">
        <f>ROUND((3948*$T$1),0)*1.05</f>
        <v>4145.4000000000005</v>
      </c>
    </row>
    <row r="821" spans="1:17" ht="15" customHeight="1" x14ac:dyDescent="0.3">
      <c r="A821" s="42"/>
      <c r="B821" s="44" t="s">
        <v>508</v>
      </c>
      <c r="C821" s="44" t="s">
        <v>45</v>
      </c>
      <c r="D821" s="47">
        <v>2.6</v>
      </c>
      <c r="E821" s="46" t="s">
        <v>47</v>
      </c>
      <c r="F821" s="47">
        <v>0.84</v>
      </c>
      <c r="G821" s="46" t="s">
        <v>48</v>
      </c>
      <c r="H821" s="47">
        <v>0.71</v>
      </c>
      <c r="I821" s="48">
        <v>9</v>
      </c>
      <c r="J821" s="49">
        <f>ROUND((3172*$T$1),0)*1.05</f>
        <v>3330.6000000000004</v>
      </c>
      <c r="K821" s="49">
        <f>ROUND((3524*$T$1),0)*1.05</f>
        <v>3700.2000000000003</v>
      </c>
      <c r="L821" s="49">
        <f>ROUND((3577*$T$1),0)*1.05</f>
        <v>3755.8500000000004</v>
      </c>
      <c r="M821" s="49">
        <f>ROUND((3637*$T$1),0)*1.05</f>
        <v>3818.8500000000004</v>
      </c>
      <c r="N821" s="49">
        <f>ROUND((3698*$T$1),0)*1.05</f>
        <v>3882.9</v>
      </c>
      <c r="O821" s="49">
        <f>ROUND((3735*$T$1),0)*1.05</f>
        <v>3921.75</v>
      </c>
      <c r="P821" s="49">
        <f>ROUND((3846*$T$1),0)*1.05</f>
        <v>4038.3</v>
      </c>
      <c r="Q821" s="49">
        <f>ROUND((4028*$T$1),0)*1.05</f>
        <v>4229.4000000000005</v>
      </c>
    </row>
    <row r="822" spans="1:17" ht="15" customHeight="1" x14ac:dyDescent="0.3">
      <c r="A822" s="42"/>
      <c r="B822" s="44" t="s">
        <v>507</v>
      </c>
      <c r="C822" s="44" t="s">
        <v>45</v>
      </c>
      <c r="D822" s="47">
        <v>2.8</v>
      </c>
      <c r="E822" s="46" t="s">
        <v>47</v>
      </c>
      <c r="F822" s="47">
        <v>0.84</v>
      </c>
      <c r="G822" s="46" t="s">
        <v>48</v>
      </c>
      <c r="H822" s="47">
        <v>0.71</v>
      </c>
      <c r="I822" s="48">
        <v>9</v>
      </c>
      <c r="J822" s="49">
        <f>ROUND((3250*$T$1),0)*1.05</f>
        <v>3412.5</v>
      </c>
      <c r="K822" s="49">
        <f>ROUND((3611*$T$1),0)*1.05</f>
        <v>3791.55</v>
      </c>
      <c r="L822" s="49">
        <f>ROUND((3666*$T$1),0)*1.05</f>
        <v>3849.3</v>
      </c>
      <c r="M822" s="49">
        <f>ROUND((3728*$T$1),0)*1.05</f>
        <v>3914.4</v>
      </c>
      <c r="N822" s="49">
        <f>ROUND((3592*$T$1),0)*1.05</f>
        <v>3771.6000000000004</v>
      </c>
      <c r="O822" s="49">
        <f>ROUND((3830*$T$1),0)*1.05</f>
        <v>4021.5</v>
      </c>
      <c r="P822" s="49">
        <f>ROUND((3943*$T$1),0)*1.05</f>
        <v>4140.1500000000005</v>
      </c>
      <c r="Q822" s="49">
        <f>ROUND((4132*$T$1),0)*1.05</f>
        <v>4338.6000000000004</v>
      </c>
    </row>
    <row r="823" spans="1:17" ht="15" customHeight="1" x14ac:dyDescent="0.3">
      <c r="A823" s="42"/>
      <c r="B823" s="44"/>
      <c r="C823" s="44"/>
      <c r="D823" s="47"/>
      <c r="E823" s="46"/>
      <c r="F823" s="47"/>
      <c r="G823" s="46"/>
      <c r="H823" s="47"/>
      <c r="I823" s="48"/>
      <c r="J823" s="49"/>
      <c r="K823" s="49"/>
      <c r="L823" s="49"/>
      <c r="M823" s="49"/>
      <c r="N823" s="49"/>
      <c r="O823" s="49"/>
      <c r="P823" s="49"/>
      <c r="Q823" s="49"/>
    </row>
    <row r="824" spans="1:17" ht="15" customHeight="1" x14ac:dyDescent="0.3">
      <c r="A824" s="42"/>
      <c r="B824" s="44" t="s">
        <v>517</v>
      </c>
      <c r="C824" s="44" t="s">
        <v>45</v>
      </c>
      <c r="D824" s="47">
        <v>1.6</v>
      </c>
      <c r="E824" s="46" t="s">
        <v>47</v>
      </c>
      <c r="F824" s="47">
        <v>0.5</v>
      </c>
      <c r="G824" s="46" t="s">
        <v>48</v>
      </c>
      <c r="H824" s="47">
        <v>0.48</v>
      </c>
      <c r="I824" s="48">
        <v>3</v>
      </c>
      <c r="J824" s="49">
        <f>ROUND((1641*$T$1),0)*1.05</f>
        <v>1723.0500000000002</v>
      </c>
      <c r="K824" s="49">
        <f>ROUND((1824*$T$1),0)*1.05</f>
        <v>1915.2</v>
      </c>
      <c r="L824" s="49">
        <f>ROUND((1842*$T$1),0)*1.05</f>
        <v>1934.1000000000001</v>
      </c>
      <c r="M824" s="49">
        <f>ROUND((1862*$T$1),0)*1.05</f>
        <v>1955.1000000000001</v>
      </c>
      <c r="N824" s="49">
        <f>ROUND((1883*$T$1),0)*1.05</f>
        <v>1977.15</v>
      </c>
      <c r="O824" s="49">
        <f>ROUND((1894*$T$1),0)*1.05</f>
        <v>1988.7</v>
      </c>
      <c r="P824" s="49">
        <f>ROUND((1931*$T$1),0)*1.05</f>
        <v>2027.5500000000002</v>
      </c>
      <c r="Q824" s="49">
        <f>ROUND((1991*$T$1),0)*1.05</f>
        <v>2090.5500000000002</v>
      </c>
    </row>
    <row r="825" spans="1:17" ht="15" customHeight="1" x14ac:dyDescent="0.3">
      <c r="A825" s="42"/>
      <c r="B825" s="44" t="s">
        <v>517</v>
      </c>
      <c r="C825" s="44" t="s">
        <v>45</v>
      </c>
      <c r="D825" s="47">
        <v>1.8</v>
      </c>
      <c r="E825" s="46" t="s">
        <v>47</v>
      </c>
      <c r="F825" s="47">
        <v>0.5</v>
      </c>
      <c r="G825" s="46" t="s">
        <v>48</v>
      </c>
      <c r="H825" s="47">
        <v>0.48</v>
      </c>
      <c r="I825" s="48">
        <v>3.2</v>
      </c>
      <c r="J825" s="49">
        <f>ROUND((1733*$T$1),0)*1.05</f>
        <v>1819.65</v>
      </c>
      <c r="K825" s="49">
        <f>ROUND((1925*$T$1),0)*1.05</f>
        <v>2021.25</v>
      </c>
      <c r="L825" s="49">
        <f>ROUND((1944*$T$1),0)*1.05</f>
        <v>2041.2</v>
      </c>
      <c r="M825" s="49">
        <f>ROUND((1964*$T$1),0)*1.05</f>
        <v>2062.2000000000003</v>
      </c>
      <c r="N825" s="49">
        <f>ROUND((1986*$T$1),0)*1.05</f>
        <v>2085.3000000000002</v>
      </c>
      <c r="O825" s="49">
        <f>ROUND((1999*$T$1),0)*1.05</f>
        <v>2098.9500000000003</v>
      </c>
      <c r="P825" s="49">
        <f>ROUND((2037*$T$1),0)*1.05</f>
        <v>2138.85</v>
      </c>
      <c r="Q825" s="49">
        <f>ROUND((2099*$T$1),0)*1.05</f>
        <v>2203.9500000000003</v>
      </c>
    </row>
    <row r="826" spans="1:17" ht="15" customHeight="1" x14ac:dyDescent="0.3">
      <c r="A826" s="42"/>
      <c r="B826" s="44"/>
      <c r="C826" s="44"/>
      <c r="D826" s="47"/>
      <c r="E826" s="46"/>
      <c r="F826" s="47"/>
      <c r="G826" s="46"/>
      <c r="H826" s="47"/>
      <c r="I826" s="48"/>
      <c r="J826" s="49"/>
      <c r="K826" s="49"/>
      <c r="L826" s="49"/>
      <c r="M826" s="49"/>
      <c r="N826" s="49"/>
      <c r="O826" s="49"/>
      <c r="P826" s="49"/>
      <c r="Q826" s="49"/>
    </row>
    <row r="827" spans="1:17" ht="15" customHeight="1" x14ac:dyDescent="0.3">
      <c r="A827" s="42"/>
      <c r="B827" s="44"/>
      <c r="C827" s="44"/>
      <c r="D827" s="47"/>
      <c r="E827" s="46"/>
      <c r="F827" s="47"/>
      <c r="G827" s="46"/>
      <c r="H827" s="47"/>
      <c r="I827" s="57"/>
      <c r="J827" s="58"/>
      <c r="K827" s="58"/>
      <c r="L827" s="58"/>
      <c r="M827" s="87" t="s">
        <v>134</v>
      </c>
      <c r="N827" s="58"/>
      <c r="O827" s="58"/>
      <c r="P827" s="58"/>
      <c r="Q827" s="58"/>
    </row>
    <row r="828" spans="1:17" ht="15" customHeight="1" x14ac:dyDescent="0.3">
      <c r="A828" s="42"/>
      <c r="B828" s="59" t="s">
        <v>515</v>
      </c>
      <c r="C828" s="59"/>
      <c r="D828" s="59"/>
      <c r="E828" s="59"/>
      <c r="F828" s="59"/>
      <c r="G828" s="59"/>
      <c r="H828" s="59"/>
      <c r="I828" s="61"/>
      <c r="J828" s="62"/>
      <c r="K828" s="62"/>
      <c r="L828" s="62"/>
      <c r="M828" s="62"/>
      <c r="N828" s="62"/>
      <c r="O828" s="62"/>
      <c r="P828" s="62"/>
      <c r="Q828" s="62"/>
    </row>
    <row r="829" spans="1:17" ht="15" customHeight="1" x14ac:dyDescent="0.3">
      <c r="A829" s="42"/>
      <c r="B829" s="63"/>
      <c r="C829" s="63"/>
      <c r="D829" s="65"/>
      <c r="E829" s="49"/>
      <c r="F829" s="66"/>
      <c r="G829" s="48"/>
      <c r="H829" s="66"/>
      <c r="I829" s="48"/>
      <c r="J829" s="49"/>
      <c r="K829" s="49"/>
      <c r="L829" s="49"/>
      <c r="M829" s="49"/>
      <c r="N829" s="49"/>
      <c r="O829" s="49"/>
      <c r="P829" s="49"/>
      <c r="Q829" s="49"/>
    </row>
    <row r="830" spans="1:17" ht="29.1" customHeight="1" x14ac:dyDescent="0.25">
      <c r="A830" s="127" t="s">
        <v>518</v>
      </c>
      <c r="B830" s="77"/>
      <c r="C830" s="187" t="s">
        <v>41</v>
      </c>
      <c r="D830" s="187"/>
      <c r="E830" s="187"/>
      <c r="F830" s="187"/>
      <c r="G830" s="187"/>
      <c r="H830" s="187"/>
      <c r="I830" s="78" t="s">
        <v>42</v>
      </c>
      <c r="J830" s="41" t="s">
        <v>43</v>
      </c>
      <c r="K830" s="41">
        <v>1000</v>
      </c>
      <c r="L830" s="41">
        <v>2000</v>
      </c>
      <c r="M830" s="41">
        <v>3000</v>
      </c>
      <c r="N830" s="41">
        <v>4000</v>
      </c>
      <c r="O830" s="41">
        <v>5000</v>
      </c>
      <c r="P830" s="41">
        <v>6000</v>
      </c>
      <c r="Q830" s="41">
        <v>7000</v>
      </c>
    </row>
    <row r="831" spans="1:17" ht="15" customHeight="1" x14ac:dyDescent="0.3">
      <c r="A831" s="42"/>
      <c r="B831" s="43" t="s">
        <v>519</v>
      </c>
      <c r="C831" s="44" t="s">
        <v>45</v>
      </c>
      <c r="D831" s="45" t="s">
        <v>64</v>
      </c>
      <c r="E831" s="46" t="s">
        <v>47</v>
      </c>
      <c r="F831" s="47">
        <v>0.91</v>
      </c>
      <c r="G831" s="46" t="s">
        <v>48</v>
      </c>
      <c r="H831" s="47">
        <v>0.86</v>
      </c>
      <c r="I831" s="48">
        <v>5.5</v>
      </c>
      <c r="J831" s="49">
        <f>ROUND((1717*$T$1),0)*1.05</f>
        <v>1802.8500000000001</v>
      </c>
      <c r="K831" s="49">
        <f>ROUND((1908*$T$1),0)*1.05</f>
        <v>2003.4</v>
      </c>
      <c r="L831" s="49">
        <f>ROUND((1941*$T$1),0)*1.05</f>
        <v>2038.0500000000002</v>
      </c>
      <c r="M831" s="49">
        <f>ROUND((1981*$T$1),0)*1.05</f>
        <v>2080.0500000000002</v>
      </c>
      <c r="N831" s="49">
        <f>ROUND((2021*$T$1),0)*1.05</f>
        <v>2122.0500000000002</v>
      </c>
      <c r="O831" s="49">
        <f>ROUND((2044*$T$1),0)*1.05</f>
        <v>2146.2000000000003</v>
      </c>
      <c r="P831" s="49">
        <f>ROUND((2115*$T$1),0)*1.05</f>
        <v>2220.75</v>
      </c>
      <c r="Q831" s="49">
        <f>ROUND((2232*$T$1),0)*1.05</f>
        <v>2343.6</v>
      </c>
    </row>
    <row r="832" spans="1:17" ht="15" customHeight="1" x14ac:dyDescent="0.3">
      <c r="A832" s="42"/>
      <c r="B832" s="43" t="s">
        <v>100</v>
      </c>
      <c r="C832" s="44" t="s">
        <v>45</v>
      </c>
      <c r="D832" s="45" t="s">
        <v>77</v>
      </c>
      <c r="E832" s="46" t="s">
        <v>47</v>
      </c>
      <c r="F832" s="47">
        <v>0.91</v>
      </c>
      <c r="G832" s="46" t="s">
        <v>48</v>
      </c>
      <c r="H832" s="47">
        <v>0.86</v>
      </c>
      <c r="I832" s="48">
        <v>8.6999999999999993</v>
      </c>
      <c r="J832" s="49">
        <f>ROUND((2719*$T$1),0)*1.05</f>
        <v>2854.9500000000003</v>
      </c>
      <c r="K832" s="49">
        <f>ROUND((3020*$T$1),0)*1.05</f>
        <v>3171</v>
      </c>
      <c r="L832" s="49">
        <f>ROUND((3074*$T$1),0)*1.05</f>
        <v>3227.7000000000003</v>
      </c>
      <c r="M832" s="49">
        <f>ROUND((3136*$T$1),0)*1.05</f>
        <v>3292.8</v>
      </c>
      <c r="N832" s="49">
        <f>ROUND((3198*$T$1),0)*1.05</f>
        <v>3357.9</v>
      </c>
      <c r="O832" s="49">
        <f>ROUND((3236*$T$1),0)*1.05</f>
        <v>3397.8</v>
      </c>
      <c r="P832" s="49">
        <f>ROUND((3349*$T$1),0)*1.05</f>
        <v>3516.4500000000003</v>
      </c>
      <c r="Q832" s="49">
        <f>ROUND((3535*$T$1),0)*1.05</f>
        <v>3711.75</v>
      </c>
    </row>
    <row r="833" spans="1:17" ht="15" customHeight="1" x14ac:dyDescent="0.3">
      <c r="A833" s="42"/>
      <c r="B833" s="43" t="s">
        <v>100</v>
      </c>
      <c r="C833" s="44" t="s">
        <v>45</v>
      </c>
      <c r="D833" s="45" t="s">
        <v>387</v>
      </c>
      <c r="E833" s="46" t="s">
        <v>47</v>
      </c>
      <c r="F833" s="47">
        <v>0.91</v>
      </c>
      <c r="G833" s="46" t="s">
        <v>48</v>
      </c>
      <c r="H833" s="47">
        <v>0.86</v>
      </c>
      <c r="I833" s="48">
        <v>9.1</v>
      </c>
      <c r="J833" s="49">
        <f>ROUND((2861*$T$1),0)*1.05</f>
        <v>3004.05</v>
      </c>
      <c r="K833" s="49">
        <f>ROUND((3179*$T$1),0)*1.05</f>
        <v>3337.9500000000003</v>
      </c>
      <c r="L833" s="49">
        <f>ROUND((3236*$T$1),0)*1.05</f>
        <v>3397.8</v>
      </c>
      <c r="M833" s="49">
        <f>ROUND((3302*$T$1),0)*1.05</f>
        <v>3467.1000000000004</v>
      </c>
      <c r="N833" s="49">
        <f>ROUND((3367*$T$1),0)*1.05</f>
        <v>3535.3500000000004</v>
      </c>
      <c r="O833" s="49">
        <f>ROUND((3406*$T$1),0)*1.05</f>
        <v>3576.3</v>
      </c>
      <c r="P833" s="49">
        <f>ROUND((3525*$T$1),0)*1.05</f>
        <v>3701.25</v>
      </c>
      <c r="Q833" s="49">
        <f>ROUND((3720*$T$1),0)*1.05</f>
        <v>3906</v>
      </c>
    </row>
    <row r="834" spans="1:17" ht="15" customHeight="1" x14ac:dyDescent="0.3">
      <c r="A834" s="42"/>
      <c r="B834" s="43" t="s">
        <v>100</v>
      </c>
      <c r="C834" s="44" t="s">
        <v>45</v>
      </c>
      <c r="D834" s="45" t="s">
        <v>513</v>
      </c>
      <c r="E834" s="46" t="s">
        <v>47</v>
      </c>
      <c r="F834" s="47">
        <v>0.91</v>
      </c>
      <c r="G834" s="46" t="s">
        <v>48</v>
      </c>
      <c r="H834" s="47">
        <v>0.86</v>
      </c>
      <c r="I834" s="48">
        <v>9.3000000000000007</v>
      </c>
      <c r="J834" s="49">
        <f>ROUND((2936*$T$1),0)*1.05</f>
        <v>3082.8</v>
      </c>
      <c r="K834" s="49">
        <f>ROUND((3263*$T$1),0)*1.05</f>
        <v>3426.15</v>
      </c>
      <c r="L834" s="49">
        <f>ROUND((3321*$T$1),0)*1.05</f>
        <v>3487.05</v>
      </c>
      <c r="M834" s="49">
        <f>ROUND((3388*$T$1),0)*1.05</f>
        <v>3557.4</v>
      </c>
      <c r="N834" s="49">
        <f>ROUND((3456*$T$1),0)*1.05</f>
        <v>3628.8</v>
      </c>
      <c r="O834" s="49">
        <f>ROUND((3496*$T$1),0)*1.05</f>
        <v>3670.8</v>
      </c>
      <c r="P834" s="49">
        <f>ROUND((3618*$T$1),0)*1.05</f>
        <v>3798.9</v>
      </c>
      <c r="Q834" s="49">
        <f>ROUND((3819*$T$1),0)*1.05</f>
        <v>4009.9500000000003</v>
      </c>
    </row>
    <row r="835" spans="1:17" ht="15" customHeight="1" x14ac:dyDescent="0.3">
      <c r="A835" s="42"/>
      <c r="B835" s="43" t="s">
        <v>102</v>
      </c>
      <c r="C835" s="44" t="s">
        <v>45</v>
      </c>
      <c r="D835" s="45" t="s">
        <v>481</v>
      </c>
      <c r="E835" s="46" t="s">
        <v>47</v>
      </c>
      <c r="F835" s="47">
        <v>0.91</v>
      </c>
      <c r="G835" s="46" t="s">
        <v>48</v>
      </c>
      <c r="H835" s="47">
        <v>0.86</v>
      </c>
      <c r="I835" s="48">
        <v>9.5</v>
      </c>
      <c r="J835" s="49">
        <f>ROUND((3012*$T$1),0)*1.05</f>
        <v>3162.6</v>
      </c>
      <c r="K835" s="49">
        <f>ROUND((3347*$T$1),0)*1.05</f>
        <v>3514.3500000000004</v>
      </c>
      <c r="L835" s="49">
        <f>ROUND((3406*$T$1),0)*1.05</f>
        <v>3576.3</v>
      </c>
      <c r="M835" s="49">
        <f>ROUND((3475*$T$1),0)*1.05</f>
        <v>3648.75</v>
      </c>
      <c r="N835" s="49">
        <f>ROUND((3544*$T$1),0)*1.05</f>
        <v>3721.2000000000003</v>
      </c>
      <c r="O835" s="49">
        <f>ROUND((3586*$T$1),0)*1.05</f>
        <v>3765.3</v>
      </c>
      <c r="P835" s="49">
        <f>ROUND((3710*$T$1),0)*1.05</f>
        <v>3895.5</v>
      </c>
      <c r="Q835" s="49">
        <f>ROUND((3917*$T$1),0)*1.05</f>
        <v>4112.8500000000004</v>
      </c>
    </row>
    <row r="836" spans="1:17" ht="15" customHeight="1" x14ac:dyDescent="0.3">
      <c r="A836" s="42"/>
      <c r="B836" s="43" t="s">
        <v>102</v>
      </c>
      <c r="C836" s="44" t="s">
        <v>45</v>
      </c>
      <c r="D836" s="45" t="s">
        <v>479</v>
      </c>
      <c r="E836" s="46" t="s">
        <v>47</v>
      </c>
      <c r="F836" s="47">
        <v>0.91</v>
      </c>
      <c r="G836" s="46" t="s">
        <v>48</v>
      </c>
      <c r="H836" s="47">
        <v>0.86</v>
      </c>
      <c r="I836" s="48">
        <v>10</v>
      </c>
      <c r="J836" s="49">
        <f>ROUND((3171*$T$1),0)*1.05</f>
        <v>3329.55</v>
      </c>
      <c r="K836" s="49">
        <f>ROUND((3522*$T$1),0)*1.05</f>
        <v>3698.1000000000004</v>
      </c>
      <c r="L836" s="49">
        <f>ROUND((3586*$T$1),0)*1.05</f>
        <v>3765.3</v>
      </c>
      <c r="M836" s="49">
        <f>ROUND((3658*$T$1),0)*1.05</f>
        <v>3840.9</v>
      </c>
      <c r="N836" s="49">
        <f>ROUND((3531*$T$1),0)*1.05</f>
        <v>3707.55</v>
      </c>
      <c r="O836" s="49">
        <f>ROUND((3774*$T$1),0)*1.05</f>
        <v>3962.7000000000003</v>
      </c>
      <c r="P836" s="49">
        <f>ROUND((3905*$T$1),0)*1.05</f>
        <v>4100.25</v>
      </c>
      <c r="Q836" s="49">
        <f>ROUND((4123*$T$1),0)*1.05</f>
        <v>4329.1500000000005</v>
      </c>
    </row>
    <row r="837" spans="1:17" ht="15" customHeight="1" x14ac:dyDescent="0.3">
      <c r="A837" s="42"/>
      <c r="B837" s="43" t="s">
        <v>103</v>
      </c>
      <c r="C837" s="44" t="s">
        <v>45</v>
      </c>
      <c r="D837" s="45" t="s">
        <v>478</v>
      </c>
      <c r="E837" s="46" t="s">
        <v>47</v>
      </c>
      <c r="F837" s="47">
        <v>0.91</v>
      </c>
      <c r="G837" s="46" t="s">
        <v>48</v>
      </c>
      <c r="H837" s="47">
        <v>0.86</v>
      </c>
      <c r="I837" s="48">
        <v>11.2</v>
      </c>
      <c r="J837" s="49">
        <f>ROUND((3522*$T$1),0)*1.05</f>
        <v>3698.1000000000004</v>
      </c>
      <c r="K837" s="49">
        <f>ROUND((3913*$T$1),0)*1.05</f>
        <v>4108.6500000000005</v>
      </c>
      <c r="L837" s="49">
        <f>ROUND((3984*$T$1),0)*1.05</f>
        <v>4183.2</v>
      </c>
      <c r="M837" s="49">
        <f>ROUND((4064*$T$1),0)*1.05</f>
        <v>4267.2</v>
      </c>
      <c r="N837" s="49">
        <f>ROUND((4145*$T$1),0)*1.05</f>
        <v>4352.25</v>
      </c>
      <c r="O837" s="49">
        <f>ROUND((4194*$T$1),0)*1.05</f>
        <v>4403.7</v>
      </c>
      <c r="P837" s="49">
        <f>ROUND((4339*$T$1),0)*1.05</f>
        <v>4555.95</v>
      </c>
      <c r="Q837" s="49">
        <f>ROUND((4580*$T$1),0)*1.05</f>
        <v>4809</v>
      </c>
    </row>
    <row r="838" spans="1:17" ht="15" customHeight="1" x14ac:dyDescent="0.3">
      <c r="A838" s="42"/>
      <c r="B838" s="43" t="s">
        <v>103</v>
      </c>
      <c r="C838" s="44" t="s">
        <v>45</v>
      </c>
      <c r="D838" s="45" t="s">
        <v>476</v>
      </c>
      <c r="E838" s="46" t="s">
        <v>47</v>
      </c>
      <c r="F838" s="47">
        <v>0.91</v>
      </c>
      <c r="G838" s="46" t="s">
        <v>48</v>
      </c>
      <c r="H838" s="47">
        <v>0.86</v>
      </c>
      <c r="I838" s="48">
        <v>12.5</v>
      </c>
      <c r="J838" s="49">
        <f>ROUND((3913*$T$1),0)*1.05</f>
        <v>4108.6500000000005</v>
      </c>
      <c r="K838" s="49">
        <f>ROUND((4348*$T$1),0)*1.05</f>
        <v>4565.4000000000005</v>
      </c>
      <c r="L838" s="49">
        <f>ROUND((4426*$T$1),0)*1.05</f>
        <v>4647.3</v>
      </c>
      <c r="M838" s="49">
        <f>ROUND((4516*$T$1),0)*1.05</f>
        <v>4741.8</v>
      </c>
      <c r="N838" s="49">
        <f>ROUND((4606*$T$1),0)*1.05</f>
        <v>4836.3</v>
      </c>
      <c r="O838" s="49">
        <f>ROUND((4660*$T$1),0)*1.05</f>
        <v>4893</v>
      </c>
      <c r="P838" s="49">
        <f>ROUND((4822*$T$1),0)*1.05</f>
        <v>5063.1000000000004</v>
      </c>
      <c r="Q838" s="49">
        <f>ROUND((5090*$T$1),0)*1.05</f>
        <v>5344.5</v>
      </c>
    </row>
    <row r="839" spans="1:17" ht="15" customHeight="1" x14ac:dyDescent="0.3">
      <c r="A839" s="42"/>
      <c r="B839" s="43"/>
      <c r="C839" s="44"/>
      <c r="D839" s="45"/>
      <c r="E839" s="46"/>
      <c r="F839" s="47"/>
      <c r="G839" s="46"/>
      <c r="H839" s="47"/>
      <c r="I839" s="48"/>
      <c r="J839" s="49"/>
      <c r="K839" s="49"/>
      <c r="L839" s="49"/>
      <c r="M839" s="49"/>
      <c r="N839" s="49"/>
      <c r="O839" s="49"/>
      <c r="P839" s="49"/>
      <c r="Q839" s="49"/>
    </row>
    <row r="840" spans="1:17" ht="15" customHeight="1" x14ac:dyDescent="0.3">
      <c r="A840" s="42"/>
      <c r="B840" s="43" t="s">
        <v>520</v>
      </c>
      <c r="C840" s="44" t="s">
        <v>45</v>
      </c>
      <c r="D840" s="45" t="s">
        <v>58</v>
      </c>
      <c r="E840" s="46" t="s">
        <v>47</v>
      </c>
      <c r="F840" s="47">
        <v>0.91</v>
      </c>
      <c r="G840" s="46" t="s">
        <v>48</v>
      </c>
      <c r="H840" s="47">
        <v>0.86</v>
      </c>
      <c r="I840" s="48">
        <v>6.1</v>
      </c>
      <c r="J840" s="49">
        <f>ROUND((2004*$T$1),0)*1.05</f>
        <v>2104.2000000000003</v>
      </c>
      <c r="K840" s="49">
        <f>ROUND((2228*$T$1),0)*1.05</f>
        <v>2339.4</v>
      </c>
      <c r="L840" s="49">
        <f>ROUND((2262*$T$1),0)*1.05</f>
        <v>2375.1</v>
      </c>
      <c r="M840" s="49">
        <f>ROUND((2300*$T$1),0)*1.05</f>
        <v>2415</v>
      </c>
      <c r="N840" s="49">
        <f>ROUND((2339*$T$1),0)*1.05</f>
        <v>2455.9500000000003</v>
      </c>
      <c r="O840" s="49">
        <f>ROUND((2363*$T$1),0)*1.05</f>
        <v>2481.15</v>
      </c>
      <c r="P840" s="49">
        <f>ROUND((2433*$T$1),0)*1.05</f>
        <v>2554.65</v>
      </c>
      <c r="Q840" s="49">
        <f>ROUND((2551*$T$1),0)*1.05</f>
        <v>2678.55</v>
      </c>
    </row>
    <row r="841" spans="1:17" ht="15" customHeight="1" x14ac:dyDescent="0.3">
      <c r="A841" s="42"/>
      <c r="B841" s="43" t="s">
        <v>520</v>
      </c>
      <c r="C841" s="44" t="s">
        <v>45</v>
      </c>
      <c r="D841" s="45" t="s">
        <v>83</v>
      </c>
      <c r="E841" s="46" t="s">
        <v>47</v>
      </c>
      <c r="F841" s="47">
        <v>0.91</v>
      </c>
      <c r="G841" s="46" t="s">
        <v>48</v>
      </c>
      <c r="H841" s="47">
        <v>0.86</v>
      </c>
      <c r="I841" s="48">
        <v>6.8</v>
      </c>
      <c r="J841" s="49">
        <f>ROUND((2054*$T$1),0)*1.05</f>
        <v>2156.7000000000003</v>
      </c>
      <c r="K841" s="49">
        <f>ROUND((2282*$T$1),0)*1.05</f>
        <v>2396.1</v>
      </c>
      <c r="L841" s="49">
        <f>ROUND((2317*$T$1),0)*1.05</f>
        <v>2432.85</v>
      </c>
      <c r="M841" s="49">
        <f>ROUND((2360*$T$1),0)*1.05</f>
        <v>2478</v>
      </c>
      <c r="N841" s="49">
        <f>ROUND((2401*$T$1),0)*1.05</f>
        <v>2521.0500000000002</v>
      </c>
      <c r="O841" s="49">
        <f>ROUND((2425*$T$1),0)*1.05</f>
        <v>2546.25</v>
      </c>
      <c r="P841" s="49">
        <f>ROUND((2500*$T$1),0)*1.05</f>
        <v>2625</v>
      </c>
      <c r="Q841" s="49">
        <f>ROUND((2625*$T$1),0)*1.05</f>
        <v>2756.25</v>
      </c>
    </row>
    <row r="842" spans="1:17" ht="15" customHeight="1" x14ac:dyDescent="0.3">
      <c r="A842" s="42"/>
      <c r="B842" s="43"/>
      <c r="C842" s="44"/>
      <c r="D842" s="45"/>
      <c r="E842" s="46"/>
      <c r="F842" s="47"/>
      <c r="G842" s="46"/>
      <c r="H842" s="47"/>
      <c r="I842" s="48"/>
      <c r="J842" s="49"/>
      <c r="K842" s="49"/>
      <c r="L842" s="49"/>
      <c r="M842" s="49"/>
      <c r="N842" s="49"/>
      <c r="O842" s="49"/>
      <c r="P842" s="49"/>
      <c r="Q842" s="49"/>
    </row>
    <row r="843" spans="1:17" ht="15" customHeight="1" x14ac:dyDescent="0.3">
      <c r="A843" s="42"/>
      <c r="B843" s="43"/>
      <c r="C843" s="44"/>
      <c r="D843" s="45"/>
      <c r="E843" s="46"/>
      <c r="F843" s="47"/>
      <c r="G843" s="46"/>
      <c r="H843" s="47"/>
      <c r="I843" s="102"/>
      <c r="J843" s="87"/>
      <c r="K843" s="87"/>
      <c r="L843" s="87"/>
      <c r="M843" s="87" t="s">
        <v>134</v>
      </c>
      <c r="N843" s="87"/>
      <c r="O843" s="87"/>
      <c r="P843" s="87"/>
      <c r="Q843" s="87"/>
    </row>
    <row r="844" spans="1:17" ht="15" customHeight="1" x14ac:dyDescent="0.3">
      <c r="A844" s="42"/>
      <c r="B844" s="59"/>
      <c r="C844" s="60"/>
      <c r="D844" s="59"/>
      <c r="E844" s="59"/>
      <c r="F844" s="59"/>
      <c r="G844" s="59"/>
      <c r="H844" s="59"/>
      <c r="I844" s="61"/>
      <c r="J844" s="62"/>
      <c r="K844" s="62"/>
      <c r="L844" s="62"/>
      <c r="M844" s="62"/>
      <c r="N844" s="62"/>
      <c r="O844" s="62"/>
      <c r="P844" s="62"/>
      <c r="Q844" s="62"/>
    </row>
    <row r="845" spans="1:17" ht="15" customHeight="1" x14ac:dyDescent="0.3">
      <c r="A845" s="42"/>
      <c r="B845" s="63"/>
      <c r="C845" s="63"/>
      <c r="D845" s="65"/>
      <c r="E845" s="49"/>
      <c r="F845" s="66"/>
      <c r="G845" s="48"/>
      <c r="H845" s="66"/>
      <c r="I845" s="48"/>
      <c r="J845" s="49"/>
      <c r="K845" s="49"/>
      <c r="L845" s="49"/>
      <c r="M845" s="49"/>
      <c r="N845" s="49"/>
      <c r="O845" s="49"/>
      <c r="P845" s="49"/>
      <c r="Q845" s="49"/>
    </row>
    <row r="846" spans="1:17" ht="29.1" customHeight="1" x14ac:dyDescent="0.25">
      <c r="A846" s="127" t="s">
        <v>521</v>
      </c>
      <c r="B846" s="77"/>
      <c r="C846" s="187" t="s">
        <v>41</v>
      </c>
      <c r="D846" s="187"/>
      <c r="E846" s="187"/>
      <c r="F846" s="187"/>
      <c r="G846" s="187"/>
      <c r="H846" s="187"/>
      <c r="I846" s="78" t="s">
        <v>42</v>
      </c>
      <c r="J846" s="41" t="s">
        <v>43</v>
      </c>
      <c r="K846" s="41">
        <v>1000</v>
      </c>
      <c r="L846" s="41">
        <v>2000</v>
      </c>
      <c r="M846" s="41">
        <v>3000</v>
      </c>
      <c r="N846" s="41">
        <v>4000</v>
      </c>
      <c r="O846" s="41">
        <v>5000</v>
      </c>
      <c r="P846" s="41">
        <v>6000</v>
      </c>
      <c r="Q846" s="41">
        <v>7000</v>
      </c>
    </row>
    <row r="847" spans="1:17" ht="15" customHeight="1" x14ac:dyDescent="0.3">
      <c r="A847" s="42"/>
      <c r="B847" s="44" t="s">
        <v>519</v>
      </c>
      <c r="C847" s="44" t="s">
        <v>45</v>
      </c>
      <c r="D847" s="47" t="s">
        <v>64</v>
      </c>
      <c r="E847" s="46" t="s">
        <v>47</v>
      </c>
      <c r="F847" s="47" t="s">
        <v>522</v>
      </c>
      <c r="G847" s="46" t="s">
        <v>48</v>
      </c>
      <c r="H847" s="47" t="s">
        <v>523</v>
      </c>
      <c r="I847" s="48">
        <v>5</v>
      </c>
      <c r="J847" s="49">
        <f>ROUND((1475*$T$1),0)*1.05</f>
        <v>1548.75</v>
      </c>
      <c r="K847" s="49">
        <f>ROUND((1640*$T$1),0)*1.05</f>
        <v>1722</v>
      </c>
      <c r="L847" s="49">
        <f>ROUND((1673*$T$1),0)*1.05</f>
        <v>1756.65</v>
      </c>
      <c r="M847" s="49">
        <f>ROUND((1712*$T$1),0)*1.05</f>
        <v>1797.6000000000001</v>
      </c>
      <c r="N847" s="49">
        <f>ROUND((1750*$T$1),0)*1.05</f>
        <v>1837.5</v>
      </c>
      <c r="O847" s="49">
        <f>ROUND((1774*$T$1),0)*1.05</f>
        <v>1862.7</v>
      </c>
      <c r="P847" s="49">
        <f>ROUND((1843*$T$1),0)*1.05</f>
        <v>1935.15</v>
      </c>
      <c r="Q847" s="49">
        <f>ROUND((1960*$T$1),0)*1.05</f>
        <v>2058</v>
      </c>
    </row>
    <row r="848" spans="1:17" ht="15" customHeight="1" x14ac:dyDescent="0.3">
      <c r="A848" s="42"/>
      <c r="B848" s="44" t="s">
        <v>100</v>
      </c>
      <c r="C848" s="44" t="s">
        <v>45</v>
      </c>
      <c r="D848" s="47" t="s">
        <v>77</v>
      </c>
      <c r="E848" s="46" t="s">
        <v>47</v>
      </c>
      <c r="F848" s="47" t="s">
        <v>522</v>
      </c>
      <c r="G848" s="46" t="s">
        <v>48</v>
      </c>
      <c r="H848" s="47" t="s">
        <v>523</v>
      </c>
      <c r="I848" s="48">
        <v>8</v>
      </c>
      <c r="J848" s="49">
        <f>ROUND((2337*$T$1),0)*1.05</f>
        <v>2453.85</v>
      </c>
      <c r="K848" s="49">
        <f>ROUND((2596*$T$1),0)*1.05</f>
        <v>2725.8</v>
      </c>
      <c r="L848" s="49">
        <f>ROUND((2650*$T$1),0)*1.05</f>
        <v>2782.5</v>
      </c>
      <c r="M848" s="49">
        <f>ROUND((2711*$T$1),0)*1.05</f>
        <v>2846.55</v>
      </c>
      <c r="N848" s="49">
        <f>ROUND((2772*$T$1),0)*1.05</f>
        <v>2910.6</v>
      </c>
      <c r="O848" s="49">
        <f>ROUND((2809*$T$1),0)*1.05</f>
        <v>2949.4500000000003</v>
      </c>
      <c r="P848" s="49">
        <f>ROUND((2919*$T$1),0)*1.05</f>
        <v>3064.9500000000003</v>
      </c>
      <c r="Q848" s="49">
        <f>ROUND((3103*$T$1),0)*1.05</f>
        <v>3258.15</v>
      </c>
    </row>
    <row r="849" spans="1:17" ht="15" customHeight="1" x14ac:dyDescent="0.3">
      <c r="A849" s="42"/>
      <c r="B849" s="44" t="s">
        <v>100</v>
      </c>
      <c r="C849" s="44" t="s">
        <v>45</v>
      </c>
      <c r="D849" s="47" t="s">
        <v>387</v>
      </c>
      <c r="E849" s="46" t="s">
        <v>47</v>
      </c>
      <c r="F849" s="47" t="s">
        <v>522</v>
      </c>
      <c r="G849" s="46" t="s">
        <v>48</v>
      </c>
      <c r="H849" s="47" t="s">
        <v>523</v>
      </c>
      <c r="I849" s="48">
        <v>8</v>
      </c>
      <c r="J849" s="49">
        <f>ROUND((2460*$T$1),0)*1.05</f>
        <v>2583</v>
      </c>
      <c r="K849" s="49">
        <f>ROUND((2732*$T$1),0)*1.05</f>
        <v>2868.6</v>
      </c>
      <c r="L849" s="49">
        <f>ROUND((2789*$T$1),0)*1.05</f>
        <v>2928.4500000000003</v>
      </c>
      <c r="M849" s="49">
        <f>ROUND((2853*$T$1),0)*1.05</f>
        <v>2995.65</v>
      </c>
      <c r="N849" s="49">
        <f>ROUND((2918*$T$1),0)*1.05</f>
        <v>3063.9</v>
      </c>
      <c r="O849" s="49">
        <f>ROUND((2957*$T$1),0)*1.05</f>
        <v>3104.85</v>
      </c>
      <c r="P849" s="49">
        <f>ROUND((3072*$T$1),0)*1.05</f>
        <v>3225.6000000000004</v>
      </c>
      <c r="Q849" s="49">
        <f>ROUND((3266*$T$1),0)*1.05</f>
        <v>3429.3</v>
      </c>
    </row>
    <row r="850" spans="1:17" ht="15" customHeight="1" x14ac:dyDescent="0.3">
      <c r="A850" s="42"/>
      <c r="B850" s="44" t="s">
        <v>100</v>
      </c>
      <c r="C850" s="44" t="s">
        <v>45</v>
      </c>
      <c r="D850" s="47">
        <v>2</v>
      </c>
      <c r="E850" s="46" t="s">
        <v>47</v>
      </c>
      <c r="F850" s="47" t="s">
        <v>522</v>
      </c>
      <c r="G850" s="46" t="s">
        <v>48</v>
      </c>
      <c r="H850" s="47" t="s">
        <v>523</v>
      </c>
      <c r="I850" s="48">
        <v>9</v>
      </c>
      <c r="J850" s="49">
        <f>ROUND((2524*$T$1),0)*1.05</f>
        <v>2650.2000000000003</v>
      </c>
      <c r="K850" s="49">
        <f>ROUND((2805*$T$1),0)*1.05</f>
        <v>2945.25</v>
      </c>
      <c r="L850" s="49">
        <f>ROUND((2862*$T$1),0)*1.05</f>
        <v>3005.1</v>
      </c>
      <c r="M850" s="49">
        <f>ROUND((2928*$T$1),0)*1.05</f>
        <v>3074.4</v>
      </c>
      <c r="N850" s="49">
        <f>ROUND((2995*$T$1),0)*1.05</f>
        <v>3144.75</v>
      </c>
      <c r="O850" s="49">
        <f>ROUND((3035*$T$1),0)*1.05</f>
        <v>3186.75</v>
      </c>
      <c r="P850" s="49">
        <f>ROUND((3153*$T$1),0)*1.05</f>
        <v>3310.65</v>
      </c>
      <c r="Q850" s="49">
        <f>ROUND((3352*$T$1),0)*1.05</f>
        <v>3519.6000000000004</v>
      </c>
    </row>
    <row r="851" spans="1:17" ht="15" customHeight="1" x14ac:dyDescent="0.3">
      <c r="A851" s="42"/>
      <c r="B851" s="44" t="s">
        <v>102</v>
      </c>
      <c r="C851" s="44" t="s">
        <v>45</v>
      </c>
      <c r="D851" s="47" t="s">
        <v>481</v>
      </c>
      <c r="E851" s="46" t="s">
        <v>47</v>
      </c>
      <c r="F851" s="47" t="s">
        <v>522</v>
      </c>
      <c r="G851" s="46" t="s">
        <v>48</v>
      </c>
      <c r="H851" s="47" t="s">
        <v>523</v>
      </c>
      <c r="I851" s="48">
        <v>9</v>
      </c>
      <c r="J851" s="49">
        <f>ROUND((2589*$T$1),0)*1.05</f>
        <v>2718.4500000000003</v>
      </c>
      <c r="K851" s="49">
        <f>ROUND((2876*$T$1),0)*1.05</f>
        <v>3019.8</v>
      </c>
      <c r="L851" s="49">
        <f>ROUND((2936*$T$1),0)*1.05</f>
        <v>3082.8</v>
      </c>
      <c r="M851" s="49">
        <f>ROUND((3004*$T$1),0)*1.05</f>
        <v>3154.2000000000003</v>
      </c>
      <c r="N851" s="49">
        <f>ROUND((3071*$T$1),0)*1.05</f>
        <v>3224.55</v>
      </c>
      <c r="O851" s="49">
        <f>ROUND((3113*$T$1),0)*1.05</f>
        <v>3268.65</v>
      </c>
      <c r="P851" s="49">
        <f>ROUND((3234*$T$1),0)*1.05</f>
        <v>3395.7000000000003</v>
      </c>
      <c r="Q851" s="49">
        <f>ROUND((3439*$T$1),0)*1.05</f>
        <v>3610.9500000000003</v>
      </c>
    </row>
    <row r="852" spans="1:17" ht="15" customHeight="1" x14ac:dyDescent="0.3">
      <c r="A852" s="42"/>
      <c r="B852" s="44" t="s">
        <v>102</v>
      </c>
      <c r="C852" s="44" t="s">
        <v>45</v>
      </c>
      <c r="D852" s="47" t="s">
        <v>479</v>
      </c>
      <c r="E852" s="46" t="s">
        <v>47</v>
      </c>
      <c r="F852" s="47" t="s">
        <v>522</v>
      </c>
      <c r="G852" s="46" t="s">
        <v>48</v>
      </c>
      <c r="H852" s="47" t="s">
        <v>523</v>
      </c>
      <c r="I852" s="48">
        <v>10</v>
      </c>
      <c r="J852" s="49">
        <f>ROUND((2726*$T$1),0)*1.05</f>
        <v>2862.3</v>
      </c>
      <c r="K852" s="49">
        <f>ROUND((3028*$T$1),0)*1.05</f>
        <v>3179.4</v>
      </c>
      <c r="L852" s="49">
        <f>ROUND((3090*$T$1),0)*1.05</f>
        <v>3244.5</v>
      </c>
      <c r="M852" s="49">
        <f>ROUND((3161*$T$1),0)*1.05</f>
        <v>3319.05</v>
      </c>
      <c r="N852" s="49">
        <f>ROUND((3233*$T$1),0)*1.05</f>
        <v>3394.65</v>
      </c>
      <c r="O852" s="49">
        <f>ROUND((3276*$T$1),0)*1.05</f>
        <v>3439.8</v>
      </c>
      <c r="P852" s="49">
        <f>ROUND((3404*$T$1),0)*1.05</f>
        <v>3574.2000000000003</v>
      </c>
      <c r="Q852" s="49">
        <f>ROUND((3619*$T$1),0)*1.05</f>
        <v>3799.9500000000003</v>
      </c>
    </row>
    <row r="853" spans="1:17" ht="15" customHeight="1" x14ac:dyDescent="0.3">
      <c r="A853" s="42"/>
      <c r="B853" s="44" t="s">
        <v>103</v>
      </c>
      <c r="C853" s="44" t="s">
        <v>45</v>
      </c>
      <c r="D853" s="47" t="s">
        <v>478</v>
      </c>
      <c r="E853" s="46" t="s">
        <v>47</v>
      </c>
      <c r="F853" s="47" t="s">
        <v>522</v>
      </c>
      <c r="G853" s="46" t="s">
        <v>48</v>
      </c>
      <c r="H853" s="47" t="s">
        <v>523</v>
      </c>
      <c r="I853" s="48">
        <v>11</v>
      </c>
      <c r="J853" s="49">
        <f>ROUND((2826*$T$1),0)*1.05</f>
        <v>2967.3</v>
      </c>
      <c r="K853" s="49">
        <f>ROUND((3140*$T$1),0)*1.05</f>
        <v>3297</v>
      </c>
      <c r="L853" s="49">
        <f>ROUND((3205*$T$1),0)*1.05</f>
        <v>3365.25</v>
      </c>
      <c r="M853" s="49">
        <f>ROUND((3281*$T$1),0)*1.05</f>
        <v>3445.05</v>
      </c>
      <c r="N853" s="49">
        <f>ROUND((3356*$T$1),0)*1.05</f>
        <v>3523.8</v>
      </c>
      <c r="O853" s="49">
        <f>ROUND((3402*$T$1),0)*1.05</f>
        <v>3572.1000000000004</v>
      </c>
      <c r="P853" s="49">
        <f>ROUND((3539*$T$1),0)*1.05</f>
        <v>3715.9500000000003</v>
      </c>
      <c r="Q853" s="49">
        <f>ROUND((3765*$T$1),0)*1.05</f>
        <v>3953.25</v>
      </c>
    </row>
    <row r="854" spans="1:17" ht="15" customHeight="1" x14ac:dyDescent="0.3">
      <c r="A854" s="42"/>
      <c r="B854" s="44" t="s">
        <v>103</v>
      </c>
      <c r="C854" s="44" t="s">
        <v>45</v>
      </c>
      <c r="D854" s="47" t="s">
        <v>476</v>
      </c>
      <c r="E854" s="46" t="s">
        <v>47</v>
      </c>
      <c r="F854" s="47" t="s">
        <v>522</v>
      </c>
      <c r="G854" s="46" t="s">
        <v>48</v>
      </c>
      <c r="H854" s="47" t="s">
        <v>523</v>
      </c>
      <c r="I854" s="48">
        <v>11</v>
      </c>
      <c r="J854" s="49">
        <f>ROUND((3140*$T$1),0)*1.05</f>
        <v>3297</v>
      </c>
      <c r="K854" s="49">
        <f>ROUND((3488*$T$1),0)*1.05</f>
        <v>3662.4</v>
      </c>
      <c r="L854" s="49">
        <f>ROUND((3562*$T$1),0)*1.05</f>
        <v>3740.1000000000004</v>
      </c>
      <c r="M854" s="49">
        <f>ROUND((3646*$T$1),0)*1.05</f>
        <v>3828.3</v>
      </c>
      <c r="N854" s="49">
        <f>ROUND((3728*$T$1),0)*1.05</f>
        <v>3914.4</v>
      </c>
      <c r="O854" s="49">
        <f>ROUND((3780*$T$1),0)*1.05</f>
        <v>3969</v>
      </c>
      <c r="P854" s="49">
        <f>ROUND((3932*$T$1),0)*1.05</f>
        <v>4128.6000000000004</v>
      </c>
      <c r="Q854" s="49">
        <f>ROUND((4184*$T$1),0)*1.05</f>
        <v>4393.2</v>
      </c>
    </row>
    <row r="855" spans="1:17" ht="15" customHeight="1" x14ac:dyDescent="0.3">
      <c r="A855" s="42"/>
      <c r="B855" s="97"/>
      <c r="C855" s="98"/>
      <c r="D855" s="99"/>
      <c r="E855" s="99"/>
      <c r="F855" s="99"/>
      <c r="G855" s="99"/>
      <c r="H855" s="99"/>
      <c r="I855" s="100"/>
      <c r="J855" s="101"/>
      <c r="K855" s="101"/>
      <c r="L855" s="101"/>
      <c r="M855" s="101"/>
      <c r="N855" s="101"/>
      <c r="O855" s="101"/>
      <c r="P855" s="101"/>
      <c r="Q855" s="101"/>
    </row>
    <row r="856" spans="1:17" ht="15" customHeight="1" x14ac:dyDescent="0.3">
      <c r="A856" s="42"/>
      <c r="B856" s="44" t="s">
        <v>524</v>
      </c>
      <c r="C856" s="44" t="s">
        <v>45</v>
      </c>
      <c r="D856" s="47" t="s">
        <v>481</v>
      </c>
      <c r="E856" s="46" t="s">
        <v>47</v>
      </c>
      <c r="F856" s="47" t="s">
        <v>522</v>
      </c>
      <c r="G856" s="46" t="s">
        <v>48</v>
      </c>
      <c r="H856" s="47" t="s">
        <v>523</v>
      </c>
      <c r="I856" s="48">
        <v>10</v>
      </c>
      <c r="J856" s="49">
        <f>ROUND((2847*$T$1),0)*1.05</f>
        <v>2989.35</v>
      </c>
      <c r="K856" s="49">
        <f>ROUND((3164*$T$1),0)*1.05</f>
        <v>3322.2000000000003</v>
      </c>
      <c r="L856" s="49">
        <f>ROUND((3229*$T$1),0)*1.05</f>
        <v>3390.4500000000003</v>
      </c>
      <c r="M856" s="49">
        <f>ROUND((3304*$T$1),0)*1.05</f>
        <v>3469.2000000000003</v>
      </c>
      <c r="N856" s="49">
        <f>ROUND((3378*$T$1),0)*1.05</f>
        <v>3546.9</v>
      </c>
      <c r="O856" s="49">
        <f>ROUND((3424*$T$1),0)*1.05</f>
        <v>3595.2000000000003</v>
      </c>
      <c r="P856" s="49">
        <f>ROUND((3557*$T$1),0)*1.05</f>
        <v>3734.8500000000004</v>
      </c>
      <c r="Q856" s="49">
        <f>ROUND((3782*$T$1),0)*1.05</f>
        <v>3971.1000000000004</v>
      </c>
    </row>
    <row r="857" spans="1:17" ht="15" customHeight="1" x14ac:dyDescent="0.3">
      <c r="A857" s="42"/>
      <c r="B857" s="44" t="s">
        <v>524</v>
      </c>
      <c r="C857" s="44" t="s">
        <v>45</v>
      </c>
      <c r="D857" s="47" t="s">
        <v>479</v>
      </c>
      <c r="E857" s="46" t="s">
        <v>47</v>
      </c>
      <c r="F857" s="47" t="s">
        <v>522</v>
      </c>
      <c r="G857" s="46" t="s">
        <v>48</v>
      </c>
      <c r="H857" s="47" t="s">
        <v>523</v>
      </c>
      <c r="I857" s="48">
        <v>11.2</v>
      </c>
      <c r="J857" s="49">
        <f>ROUND((2998*$T$1),0)*1.05</f>
        <v>3147.9</v>
      </c>
      <c r="K857" s="49">
        <f>ROUND((3330*$T$1),0)*1.05</f>
        <v>3496.5</v>
      </c>
      <c r="L857" s="49">
        <f>ROUND((3399*$T$1),0)*1.05</f>
        <v>3568.9500000000003</v>
      </c>
      <c r="M857" s="49">
        <f>ROUND((3478*$T$1),0)*1.05</f>
        <v>3651.9</v>
      </c>
      <c r="N857" s="49">
        <f>ROUND((3556*$T$1),0)*1.05</f>
        <v>3733.8</v>
      </c>
      <c r="O857" s="49">
        <f>ROUND((3604*$T$1),0)*1.05</f>
        <v>3784.2000000000003</v>
      </c>
      <c r="P857" s="49">
        <f>ROUND((3744*$T$1),0)*1.05</f>
        <v>3931.2000000000003</v>
      </c>
      <c r="Q857" s="49">
        <f>ROUND((3981*$T$1),0)*1.05</f>
        <v>4180.05</v>
      </c>
    </row>
    <row r="858" spans="1:17" ht="15" customHeight="1" x14ac:dyDescent="0.3">
      <c r="A858" s="42"/>
      <c r="B858" s="44" t="s">
        <v>525</v>
      </c>
      <c r="C858" s="44" t="s">
        <v>45</v>
      </c>
      <c r="D858" s="47" t="s">
        <v>478</v>
      </c>
      <c r="E858" s="46" t="s">
        <v>47</v>
      </c>
      <c r="F858" s="47" t="s">
        <v>522</v>
      </c>
      <c r="G858" s="46" t="s">
        <v>48</v>
      </c>
      <c r="H858" s="47" t="s">
        <v>523</v>
      </c>
      <c r="I858" s="48">
        <v>12.3</v>
      </c>
      <c r="J858" s="49">
        <f>ROUND((3108*$T$1),0)*1.05</f>
        <v>3263.4</v>
      </c>
      <c r="K858" s="49">
        <f>ROUND((3453*$T$1),0)*1.05</f>
        <v>3625.65</v>
      </c>
      <c r="L858" s="49">
        <f>ROUND((3526*$T$1),0)*1.05</f>
        <v>3702.3</v>
      </c>
      <c r="M858" s="49">
        <f>ROUND((3609*$T$1),0)*1.05</f>
        <v>3789.4500000000003</v>
      </c>
      <c r="N858" s="49">
        <f>ROUND((3692*$T$1),0)*1.05</f>
        <v>3876.6000000000004</v>
      </c>
      <c r="O858" s="49">
        <f>ROUND((3742*$T$1),0)*1.05</f>
        <v>3929.1000000000004</v>
      </c>
      <c r="P858" s="49">
        <f>ROUND((3893*$T$1),0)*1.05</f>
        <v>4087.65</v>
      </c>
      <c r="Q858" s="49">
        <f>ROUND((4141*$T$1),0)*1.05</f>
        <v>4348.05</v>
      </c>
    </row>
    <row r="859" spans="1:17" ht="15" customHeight="1" x14ac:dyDescent="0.3">
      <c r="A859" s="42"/>
      <c r="B859" s="44" t="s">
        <v>525</v>
      </c>
      <c r="C859" s="44" t="s">
        <v>45</v>
      </c>
      <c r="D859" s="47" t="s">
        <v>476</v>
      </c>
      <c r="E859" s="46" t="s">
        <v>47</v>
      </c>
      <c r="F859" s="47" t="s">
        <v>522</v>
      </c>
      <c r="G859" s="46" t="s">
        <v>48</v>
      </c>
      <c r="H859" s="47" t="s">
        <v>523</v>
      </c>
      <c r="I859" s="48">
        <v>12.3</v>
      </c>
      <c r="J859" s="49">
        <f>ROUND((3453*$T$1),0)*1.05</f>
        <v>3625.65</v>
      </c>
      <c r="K859" s="49">
        <f>ROUND((3838*$T$1),0)*1.05</f>
        <v>4029.9</v>
      </c>
      <c r="L859" s="49">
        <f>ROUND((3917*$T$1),0)*1.05</f>
        <v>4112.8500000000004</v>
      </c>
      <c r="M859" s="49">
        <f>ROUND((4010*$T$1),0)*1.05</f>
        <v>4210.5</v>
      </c>
      <c r="N859" s="49">
        <f>ROUND((4101*$T$1),0)*1.05</f>
        <v>4306.05</v>
      </c>
      <c r="O859" s="49">
        <f>ROUND((4157*$T$1),0)*1.05</f>
        <v>4364.8500000000004</v>
      </c>
      <c r="P859" s="49">
        <f>ROUND((4325*$T$1),0)*1.05</f>
        <v>4541.25</v>
      </c>
      <c r="Q859" s="49">
        <f>ROUND((4602*$T$1),0)*1.05</f>
        <v>4832.1000000000004</v>
      </c>
    </row>
    <row r="860" spans="1:17" ht="15" customHeight="1" x14ac:dyDescent="0.3">
      <c r="A860" s="42"/>
      <c r="B860" s="44"/>
      <c r="C860" s="44"/>
      <c r="D860" s="47"/>
      <c r="E860" s="46"/>
      <c r="F860" s="47"/>
      <c r="G860" s="46"/>
      <c r="H860" s="47"/>
      <c r="I860" s="48"/>
      <c r="J860" s="49"/>
      <c r="K860" s="49"/>
      <c r="L860" s="49"/>
      <c r="M860" s="49"/>
      <c r="N860" s="49"/>
      <c r="O860" s="49"/>
      <c r="P860" s="49"/>
      <c r="Q860" s="49"/>
    </row>
    <row r="861" spans="1:17" ht="15" customHeight="1" x14ac:dyDescent="0.3">
      <c r="A861" s="42"/>
      <c r="B861" s="97" t="s">
        <v>98</v>
      </c>
      <c r="C861" s="44" t="s">
        <v>45</v>
      </c>
      <c r="D861" s="140">
        <v>0.7</v>
      </c>
      <c r="E861" s="46" t="s">
        <v>47</v>
      </c>
      <c r="F861" s="99">
        <v>0.65</v>
      </c>
      <c r="G861" s="46" t="s">
        <v>48</v>
      </c>
      <c r="H861" s="99">
        <v>0.45</v>
      </c>
      <c r="I861" s="48">
        <v>1.9</v>
      </c>
      <c r="J861" s="49">
        <f>ROUND((713*$T$1),0)*1.05</f>
        <v>748.65</v>
      </c>
      <c r="K861" s="49">
        <f>ROUND((749*$T$1),0)*1.05</f>
        <v>786.45</v>
      </c>
      <c r="L861" s="49">
        <f>ROUND((761*$T$1),0)*1.05</f>
        <v>799.05000000000007</v>
      </c>
      <c r="M861" s="49">
        <f>ROUND((774*$T$1),0)*1.05</f>
        <v>812.7</v>
      </c>
      <c r="N861" s="49">
        <f>ROUND((788*$T$1),0)*1.05</f>
        <v>827.40000000000009</v>
      </c>
      <c r="O861" s="49">
        <f>ROUND((796*$T$1),0)*1.05</f>
        <v>835.80000000000007</v>
      </c>
      <c r="P861" s="49">
        <f>ROUND((821*$T$1),0)*1.05</f>
        <v>862.05000000000007</v>
      </c>
      <c r="Q861" s="49">
        <f>ROUND((861*$T$1),0)*1.05</f>
        <v>904.05000000000007</v>
      </c>
    </row>
    <row r="862" spans="1:17" ht="15" customHeight="1" x14ac:dyDescent="0.3">
      <c r="A862" s="42"/>
      <c r="B862" s="97" t="s">
        <v>98</v>
      </c>
      <c r="C862" s="44" t="s">
        <v>45</v>
      </c>
      <c r="D862" s="140">
        <v>0.8</v>
      </c>
      <c r="E862" s="46" t="s">
        <v>47</v>
      </c>
      <c r="F862" s="99">
        <v>0.65</v>
      </c>
      <c r="G862" s="46" t="s">
        <v>48</v>
      </c>
      <c r="H862" s="99">
        <v>0.45</v>
      </c>
      <c r="I862" s="48">
        <v>2.1</v>
      </c>
      <c r="J862" s="49">
        <f>ROUND((748*$T$1),0)*1.05</f>
        <v>785.4</v>
      </c>
      <c r="K862" s="49">
        <f>ROUND((779*$T$1),0)*1.05</f>
        <v>817.95</v>
      </c>
      <c r="L862" s="49">
        <f>ROUND((792*$T$1),0)*1.05</f>
        <v>831.6</v>
      </c>
      <c r="M862" s="49">
        <f>ROUND((807*$T$1),0)*1.05</f>
        <v>847.35</v>
      </c>
      <c r="N862" s="49">
        <f>ROUND((823*$T$1),0)*1.05</f>
        <v>864.15000000000009</v>
      </c>
      <c r="O862" s="49">
        <f>ROUND((833*$T$1),0)*1.05</f>
        <v>874.65000000000009</v>
      </c>
      <c r="P862" s="49">
        <f>ROUND((860*$T$1),0)*1.05</f>
        <v>903</v>
      </c>
      <c r="Q862" s="49">
        <f>ROUND((906*$T$1),0)*1.05</f>
        <v>951.30000000000007</v>
      </c>
    </row>
    <row r="863" spans="1:17" ht="15" customHeight="1" x14ac:dyDescent="0.3">
      <c r="A863" s="42"/>
      <c r="B863" s="97" t="s">
        <v>98</v>
      </c>
      <c r="C863" s="44" t="s">
        <v>45</v>
      </c>
      <c r="D863" s="140">
        <v>0.9</v>
      </c>
      <c r="E863" s="46" t="s">
        <v>47</v>
      </c>
      <c r="F863" s="99">
        <v>0.65</v>
      </c>
      <c r="G863" s="46" t="s">
        <v>48</v>
      </c>
      <c r="H863" s="99">
        <v>0.45</v>
      </c>
      <c r="I863" s="48">
        <v>2.2999999999999998</v>
      </c>
      <c r="J863" s="49">
        <f>ROUND((759*$T$1),0)*1.05</f>
        <v>796.95</v>
      </c>
      <c r="K863" s="49">
        <f>ROUND((796*$T$1),0)*1.05</f>
        <v>835.80000000000007</v>
      </c>
      <c r="L863" s="49">
        <f>ROUND((811*$T$1),0)*1.05</f>
        <v>851.55000000000007</v>
      </c>
      <c r="M863" s="49">
        <f>ROUND((828*$T$1),0)*1.05</f>
        <v>869.40000000000009</v>
      </c>
      <c r="N863" s="49">
        <f>ROUND((844*$T$1),0)*1.05</f>
        <v>886.2</v>
      </c>
      <c r="O863" s="49">
        <f>ROUND((854*$T$1),0)*1.05</f>
        <v>896.7</v>
      </c>
      <c r="P863" s="49">
        <f>ROUND((886*$T$1),0)*1.05</f>
        <v>930.30000000000007</v>
      </c>
      <c r="Q863" s="49">
        <f>ROUND((935*$T$1),0)*1.05</f>
        <v>981.75</v>
      </c>
    </row>
    <row r="864" spans="1:17" ht="15" customHeight="1" x14ac:dyDescent="0.3">
      <c r="A864" s="42"/>
      <c r="B864" s="97" t="s">
        <v>98</v>
      </c>
      <c r="C864" s="44" t="s">
        <v>45</v>
      </c>
      <c r="D864" s="140">
        <v>1</v>
      </c>
      <c r="E864" s="46" t="s">
        <v>47</v>
      </c>
      <c r="F864" s="99">
        <v>0.65</v>
      </c>
      <c r="G864" s="46" t="s">
        <v>48</v>
      </c>
      <c r="H864" s="99">
        <v>0.45</v>
      </c>
      <c r="I864" s="48">
        <v>2.6</v>
      </c>
      <c r="J864" s="49">
        <f>ROUND((805*$T$1),0)*1.05</f>
        <v>845.25</v>
      </c>
      <c r="K864" s="49">
        <f>ROUND((821*$T$1),0)*1.05</f>
        <v>862.05000000000007</v>
      </c>
      <c r="L864" s="49">
        <f>ROUND((838*$T$1),0)*1.05</f>
        <v>879.90000000000009</v>
      </c>
      <c r="M864" s="49">
        <f>ROUND((857*$T$1),0)*1.05</f>
        <v>899.85</v>
      </c>
      <c r="N864" s="49">
        <f>ROUND((876*$T$1),0)*1.05</f>
        <v>919.80000000000007</v>
      </c>
      <c r="O864" s="49">
        <f>ROUND((888*$T$1),0)*1.05</f>
        <v>932.40000000000009</v>
      </c>
      <c r="P864" s="49">
        <f>ROUND((921*$T$1),0)*1.05</f>
        <v>967.05000000000007</v>
      </c>
      <c r="Q864" s="49">
        <f>ROUND((979*$T$1),0)*1.05</f>
        <v>1027.95</v>
      </c>
    </row>
    <row r="865" spans="1:17" ht="15" customHeight="1" x14ac:dyDescent="0.3">
      <c r="A865" s="42"/>
      <c r="B865" s="97" t="s">
        <v>98</v>
      </c>
      <c r="C865" s="44" t="s">
        <v>45</v>
      </c>
      <c r="D865" s="140">
        <v>1.1000000000000001</v>
      </c>
      <c r="E865" s="46" t="s">
        <v>47</v>
      </c>
      <c r="F865" s="99">
        <v>0.65</v>
      </c>
      <c r="G865" s="46" t="s">
        <v>48</v>
      </c>
      <c r="H865" s="99">
        <v>0.45</v>
      </c>
      <c r="I865" s="48">
        <v>2.8</v>
      </c>
      <c r="J865" s="49">
        <f>ROUND((828*$T$1),0)*1.05</f>
        <v>869.40000000000009</v>
      </c>
      <c r="K865" s="49">
        <f>ROUND((851*$T$1),0)*1.05</f>
        <v>893.55000000000007</v>
      </c>
      <c r="L865" s="49">
        <f>ROUND((869*$T$1),0)*1.05</f>
        <v>912.45</v>
      </c>
      <c r="M865" s="49">
        <f>ROUND((890*$T$1),0)*1.05</f>
        <v>934.5</v>
      </c>
      <c r="N865" s="49">
        <f>ROUND((911*$T$1),0)*1.05</f>
        <v>956.55000000000007</v>
      </c>
      <c r="O865" s="49">
        <f>ROUND((923*$T$1),0)*1.05</f>
        <v>969.15000000000009</v>
      </c>
      <c r="P865" s="49">
        <f>ROUND((960*$T$1),0)*1.05</f>
        <v>1008</v>
      </c>
      <c r="Q865" s="49">
        <f>ROUND((1022*$T$1),0)*1.05</f>
        <v>1073.1000000000001</v>
      </c>
    </row>
    <row r="866" spans="1:17" ht="15" customHeight="1" x14ac:dyDescent="0.3">
      <c r="A866" s="42"/>
      <c r="B866" s="97" t="s">
        <v>98</v>
      </c>
      <c r="C866" s="44" t="s">
        <v>45</v>
      </c>
      <c r="D866" s="140">
        <v>1.2</v>
      </c>
      <c r="E866" s="46" t="s">
        <v>47</v>
      </c>
      <c r="F866" s="99">
        <v>0.65</v>
      </c>
      <c r="G866" s="46" t="s">
        <v>48</v>
      </c>
      <c r="H866" s="99">
        <v>0.45</v>
      </c>
      <c r="I866" s="48">
        <v>3.1</v>
      </c>
      <c r="J866" s="49">
        <f>ROUND((851*$T$1),0)*1.05</f>
        <v>893.55000000000007</v>
      </c>
      <c r="K866" s="49">
        <f>ROUND((874*$T$1),0)*1.05</f>
        <v>917.7</v>
      </c>
      <c r="L866" s="49">
        <f>ROUND((894*$T$1),0)*1.05</f>
        <v>938.7</v>
      </c>
      <c r="M866" s="49">
        <f>ROUND((917*$T$1),0)*1.05</f>
        <v>962.85</v>
      </c>
      <c r="N866" s="49">
        <f>ROUND((938*$T$1),0)*1.05</f>
        <v>984.90000000000009</v>
      </c>
      <c r="O866" s="49">
        <f>ROUND((952*$T$1),0)*1.05</f>
        <v>999.6</v>
      </c>
      <c r="P866" s="49">
        <f>ROUND((992*$T$1),0)*1.05</f>
        <v>1041.6000000000001</v>
      </c>
      <c r="Q866" s="49">
        <f>ROUND((1060*$T$1),0)*1.05</f>
        <v>1113</v>
      </c>
    </row>
    <row r="867" spans="1:17" ht="15" customHeight="1" x14ac:dyDescent="0.3">
      <c r="A867" s="42"/>
      <c r="B867" s="97" t="s">
        <v>98</v>
      </c>
      <c r="C867" s="44" t="s">
        <v>45</v>
      </c>
      <c r="D867" s="140">
        <v>1.3</v>
      </c>
      <c r="E867" s="46" t="s">
        <v>47</v>
      </c>
      <c r="F867" s="99">
        <v>0.65</v>
      </c>
      <c r="G867" s="46" t="s">
        <v>48</v>
      </c>
      <c r="H867" s="99">
        <v>0.45</v>
      </c>
      <c r="I867" s="48">
        <v>3.3</v>
      </c>
      <c r="J867" s="49">
        <f>ROUND((863*$T$1),0)*1.05</f>
        <v>906.15000000000009</v>
      </c>
      <c r="K867" s="49">
        <f>ROUND((899*$T$1),0)*1.05</f>
        <v>943.95</v>
      </c>
      <c r="L867" s="49">
        <f>ROUND((921*$T$1),0)*1.05</f>
        <v>967.05000000000007</v>
      </c>
      <c r="M867" s="49">
        <f>ROUND((945*$T$1),0)*1.05</f>
        <v>992.25</v>
      </c>
      <c r="N867" s="49">
        <f>ROUND((969*$T$1),0)*1.05</f>
        <v>1017.45</v>
      </c>
      <c r="O867" s="49">
        <f>ROUND((983*$T$1),0)*1.05</f>
        <v>1032.1500000000001</v>
      </c>
      <c r="P867" s="49">
        <f>ROUND((1027*$T$1),0)*1.05</f>
        <v>1078.3500000000001</v>
      </c>
      <c r="Q867" s="49">
        <f>ROUND((1099*$T$1),0)*1.05</f>
        <v>1153.95</v>
      </c>
    </row>
    <row r="868" spans="1:17" ht="15" customHeight="1" x14ac:dyDescent="0.3">
      <c r="A868" s="42"/>
      <c r="B868" s="44"/>
      <c r="C868" s="44"/>
      <c r="D868" s="47"/>
      <c r="E868" s="46"/>
      <c r="F868" s="47"/>
      <c r="G868" s="46"/>
      <c r="H868" s="47"/>
      <c r="I868" s="48"/>
      <c r="J868" s="49"/>
      <c r="K868" s="49"/>
      <c r="L868" s="49"/>
      <c r="M868" s="49"/>
      <c r="N868" s="49"/>
      <c r="O868" s="49"/>
      <c r="P868" s="49"/>
      <c r="Q868" s="49"/>
    </row>
    <row r="869" spans="1:17" ht="15" customHeight="1" x14ac:dyDescent="0.3">
      <c r="A869" s="42"/>
      <c r="B869" s="97"/>
      <c r="C869" s="98"/>
      <c r="D869" s="99"/>
      <c r="E869" s="99"/>
      <c r="F869" s="99"/>
      <c r="G869" s="99"/>
      <c r="H869" s="99"/>
      <c r="I869" s="100"/>
      <c r="J869" s="101"/>
      <c r="K869" s="101"/>
      <c r="L869" s="101"/>
      <c r="M869" s="87" t="s">
        <v>134</v>
      </c>
      <c r="N869" s="101"/>
      <c r="O869" s="101"/>
      <c r="P869" s="101"/>
      <c r="Q869" s="101"/>
    </row>
    <row r="870" spans="1:17" ht="15" customHeight="1" x14ac:dyDescent="0.3">
      <c r="A870" s="42"/>
      <c r="B870" s="59" t="s">
        <v>526</v>
      </c>
      <c r="C870" s="59"/>
      <c r="D870" s="59"/>
      <c r="E870" s="59"/>
      <c r="F870" s="59"/>
      <c r="G870" s="59"/>
      <c r="H870" s="59"/>
      <c r="I870" s="61"/>
      <c r="J870" s="62"/>
      <c r="K870" s="62"/>
      <c r="L870" s="62"/>
      <c r="M870" s="62"/>
      <c r="N870" s="62"/>
      <c r="O870" s="62"/>
      <c r="P870" s="62"/>
      <c r="Q870" s="62"/>
    </row>
    <row r="871" spans="1:17" ht="15" customHeight="1" x14ac:dyDescent="0.3">
      <c r="A871" s="42"/>
      <c r="B871" s="63"/>
      <c r="C871" s="63"/>
      <c r="D871" s="65"/>
      <c r="E871" s="49"/>
      <c r="F871" s="66"/>
      <c r="G871" s="48"/>
      <c r="H871" s="66"/>
      <c r="I871" s="48"/>
      <c r="J871" s="49"/>
      <c r="K871" s="49"/>
      <c r="L871" s="49"/>
      <c r="M871" s="49"/>
      <c r="N871" s="49"/>
      <c r="O871" s="49"/>
      <c r="P871" s="49"/>
      <c r="Q871" s="49"/>
    </row>
    <row r="872" spans="1:17" ht="29.1" customHeight="1" x14ac:dyDescent="0.25">
      <c r="A872" s="127" t="s">
        <v>527</v>
      </c>
      <c r="B872" s="77"/>
      <c r="C872" s="187" t="s">
        <v>41</v>
      </c>
      <c r="D872" s="187"/>
      <c r="E872" s="187"/>
      <c r="F872" s="187"/>
      <c r="G872" s="187"/>
      <c r="H872" s="187"/>
      <c r="I872" s="78" t="s">
        <v>42</v>
      </c>
      <c r="J872" s="41" t="s">
        <v>43</v>
      </c>
      <c r="K872" s="41">
        <v>1000</v>
      </c>
      <c r="L872" s="41">
        <v>2000</v>
      </c>
      <c r="M872" s="41">
        <v>3000</v>
      </c>
      <c r="N872" s="41">
        <v>4000</v>
      </c>
      <c r="O872" s="41">
        <v>5000</v>
      </c>
      <c r="P872" s="41">
        <v>6000</v>
      </c>
      <c r="Q872" s="41">
        <v>7000</v>
      </c>
    </row>
    <row r="873" spans="1:17" ht="15" customHeight="1" x14ac:dyDescent="0.3">
      <c r="A873" s="42"/>
      <c r="B873" s="44" t="s">
        <v>103</v>
      </c>
      <c r="C873" s="44" t="s">
        <v>45</v>
      </c>
      <c r="D873" s="47" t="s">
        <v>478</v>
      </c>
      <c r="E873" s="46" t="s">
        <v>47</v>
      </c>
      <c r="F873" s="47" t="s">
        <v>64</v>
      </c>
      <c r="G873" s="46" t="s">
        <v>48</v>
      </c>
      <c r="H873" s="47" t="s">
        <v>160</v>
      </c>
      <c r="I873" s="48">
        <v>12.3</v>
      </c>
      <c r="J873" s="49">
        <f>ROUND((3467*$T$1),0)*1.05</f>
        <v>3640.3500000000004</v>
      </c>
      <c r="K873" s="49">
        <f>ROUND((3853*$T$1),0)*1.05</f>
        <v>4045.65</v>
      </c>
      <c r="L873" s="49">
        <f>ROUND((3926*$T$1),0)*1.05</f>
        <v>4122.3</v>
      </c>
      <c r="M873" s="49">
        <f>ROUND((4012*$T$1),0)*1.05</f>
        <v>4212.6000000000004</v>
      </c>
      <c r="N873" s="49">
        <f>ROUND((4097*$T$1),0)*1.05</f>
        <v>4301.8500000000004</v>
      </c>
      <c r="O873" s="49">
        <f>ROUND((4150*$T$1),0)*1.05</f>
        <v>4357.5</v>
      </c>
      <c r="P873" s="49">
        <f>ROUND((4304*$T$1),0)*1.05</f>
        <v>4519.2</v>
      </c>
      <c r="Q873" s="49">
        <f>ROUND((4562*$T$1),0)*1.05</f>
        <v>4790.1000000000004</v>
      </c>
    </row>
    <row r="874" spans="1:17" ht="15" customHeight="1" x14ac:dyDescent="0.3">
      <c r="A874" s="42"/>
      <c r="B874" s="44" t="s">
        <v>508</v>
      </c>
      <c r="C874" s="44" t="s">
        <v>45</v>
      </c>
      <c r="D874" s="47" t="s">
        <v>479</v>
      </c>
      <c r="E874" s="46" t="s">
        <v>47</v>
      </c>
      <c r="F874" s="47" t="s">
        <v>64</v>
      </c>
      <c r="G874" s="46" t="s">
        <v>48</v>
      </c>
      <c r="H874" s="47" t="s">
        <v>160</v>
      </c>
      <c r="I874" s="48">
        <v>11</v>
      </c>
      <c r="J874" s="49">
        <f>ROUND((3121*$T$1),0)*1.05</f>
        <v>3277.05</v>
      </c>
      <c r="K874" s="49">
        <f>ROUND((3467*$T$1),0)*1.05</f>
        <v>3640.3500000000004</v>
      </c>
      <c r="L874" s="49">
        <f>ROUND((3534*$T$1),0)*1.05</f>
        <v>3710.7000000000003</v>
      </c>
      <c r="M874" s="49">
        <f>ROUND((3611*$T$1),0)*1.05</f>
        <v>3791.55</v>
      </c>
      <c r="N874" s="49">
        <f>ROUND((3688*$T$1),0)*1.05</f>
        <v>3872.4</v>
      </c>
      <c r="O874" s="49">
        <f>ROUND((3735*$T$1),0)*1.05</f>
        <v>3921.75</v>
      </c>
      <c r="P874" s="49">
        <f>ROUND((3874*$T$1),0)*1.05</f>
        <v>4067.7000000000003</v>
      </c>
      <c r="Q874" s="49">
        <f>ROUND((4106*$T$1),0)*1.05</f>
        <v>4311.3</v>
      </c>
    </row>
    <row r="875" spans="1:17" ht="15" customHeight="1" x14ac:dyDescent="0.3">
      <c r="A875" s="42"/>
      <c r="B875" s="44" t="s">
        <v>102</v>
      </c>
      <c r="C875" s="44" t="s">
        <v>45</v>
      </c>
      <c r="D875" s="47" t="s">
        <v>481</v>
      </c>
      <c r="E875" s="46" t="s">
        <v>47</v>
      </c>
      <c r="F875" s="47" t="s">
        <v>64</v>
      </c>
      <c r="G875" s="46" t="s">
        <v>48</v>
      </c>
      <c r="H875" s="47" t="s">
        <v>160</v>
      </c>
      <c r="I875" s="48">
        <v>9.9</v>
      </c>
      <c r="J875" s="49">
        <f>ROUND((2808*$T$1),0)*1.05</f>
        <v>2948.4</v>
      </c>
      <c r="K875" s="49">
        <f>ROUND((3121*$T$1),0)*1.05</f>
        <v>3277.05</v>
      </c>
      <c r="L875" s="49">
        <f>ROUND((3181*$T$1),0)*1.05</f>
        <v>3340.05</v>
      </c>
      <c r="M875" s="49">
        <f>ROUND((3250*$T$1),0)*1.05</f>
        <v>3412.5</v>
      </c>
      <c r="N875" s="49">
        <f>ROUND((3319*$T$1),0)*1.05</f>
        <v>3484.9500000000003</v>
      </c>
      <c r="O875" s="49">
        <f>ROUND((3361*$T$1),0)*1.05</f>
        <v>3529.05</v>
      </c>
      <c r="P875" s="49">
        <f>ROUND((3487*$T$1),0)*1.05</f>
        <v>3661.3500000000004</v>
      </c>
      <c r="Q875" s="49">
        <f>ROUND((3695*$T$1),0)*1.05</f>
        <v>3879.75</v>
      </c>
    </row>
    <row r="876" spans="1:17" ht="15" customHeight="1" x14ac:dyDescent="0.3">
      <c r="A876" s="42"/>
      <c r="B876" s="44" t="s">
        <v>100</v>
      </c>
      <c r="C876" s="44" t="s">
        <v>45</v>
      </c>
      <c r="D876" s="47" t="s">
        <v>307</v>
      </c>
      <c r="E876" s="46" t="s">
        <v>47</v>
      </c>
      <c r="F876" s="47" t="s">
        <v>64</v>
      </c>
      <c r="G876" s="46" t="s">
        <v>48</v>
      </c>
      <c r="H876" s="47" t="s">
        <v>160</v>
      </c>
      <c r="I876" s="48">
        <v>9</v>
      </c>
      <c r="J876" s="49">
        <f>ROUND((2528*$T$1),0)*1.05</f>
        <v>2654.4</v>
      </c>
      <c r="K876" s="49">
        <f>ROUND((2808*$T$1),0)*1.05</f>
        <v>2948.4</v>
      </c>
      <c r="L876" s="49">
        <f>ROUND((2862*$T$1),0)*1.05</f>
        <v>3005.1</v>
      </c>
      <c r="M876" s="49">
        <f>ROUND((2924*$T$1),0)*1.05</f>
        <v>3070.2000000000003</v>
      </c>
      <c r="N876" s="49">
        <f>ROUND((2988*$T$1),0)*1.05</f>
        <v>3137.4</v>
      </c>
      <c r="O876" s="49">
        <f>ROUND((3026*$T$1),0)*1.05</f>
        <v>3177.3</v>
      </c>
      <c r="P876" s="49">
        <f>ROUND((3138*$T$1),0)*1.05</f>
        <v>3294.9</v>
      </c>
      <c r="Q876" s="49">
        <f>ROUND((3326*$T$1),0)*1.05</f>
        <v>3492.3</v>
      </c>
    </row>
    <row r="877" spans="1:17" ht="15" customHeight="1" x14ac:dyDescent="0.3">
      <c r="A877" s="42"/>
      <c r="B877" s="44" t="s">
        <v>519</v>
      </c>
      <c r="C877" s="44" t="s">
        <v>45</v>
      </c>
      <c r="D877" s="47" t="s">
        <v>58</v>
      </c>
      <c r="E877" s="46" t="s">
        <v>47</v>
      </c>
      <c r="F877" s="47" t="s">
        <v>64</v>
      </c>
      <c r="G877" s="46" t="s">
        <v>48</v>
      </c>
      <c r="H877" s="47" t="s">
        <v>160</v>
      </c>
      <c r="I877" s="48">
        <v>8.1</v>
      </c>
      <c r="J877" s="49">
        <f>ROUND((2275*$T$1),0)*1.05</f>
        <v>2388.75</v>
      </c>
      <c r="K877" s="49">
        <f>ROUND((2528*$T$1),0)*1.05</f>
        <v>2654.4</v>
      </c>
      <c r="L877" s="49">
        <f>ROUND((2576*$T$1),0)*1.05</f>
        <v>2704.8</v>
      </c>
      <c r="M877" s="49">
        <f>ROUND((2632*$T$1),0)*1.05</f>
        <v>2763.6</v>
      </c>
      <c r="N877" s="49">
        <f>ROUND((2689*$T$1),0)*1.05</f>
        <v>2823.4500000000003</v>
      </c>
      <c r="O877" s="49">
        <f>ROUND((2723*$T$1),0)*1.05</f>
        <v>2859.15</v>
      </c>
      <c r="P877" s="49">
        <f>ROUND((2824*$T$1),0)*1.05</f>
        <v>2965.2000000000003</v>
      </c>
      <c r="Q877" s="49">
        <f>ROUND((2993*$T$1),0)*1.05</f>
        <v>3142.65</v>
      </c>
    </row>
    <row r="878" spans="1:17" ht="15" customHeight="1" x14ac:dyDescent="0.3">
      <c r="A878" s="42"/>
      <c r="B878" s="44"/>
      <c r="C878" s="44"/>
      <c r="D878" s="47"/>
      <c r="E878" s="46"/>
      <c r="F878" s="47"/>
      <c r="G878" s="46"/>
      <c r="H878" s="47"/>
      <c r="I878" s="57"/>
      <c r="J878" s="58"/>
      <c r="K878" s="58"/>
      <c r="L878" s="58"/>
      <c r="M878" s="87" t="s">
        <v>134</v>
      </c>
      <c r="N878" s="58"/>
      <c r="O878" s="58"/>
      <c r="P878" s="58"/>
      <c r="Q878" s="58"/>
    </row>
    <row r="879" spans="1:17" ht="15" customHeight="1" x14ac:dyDescent="0.3">
      <c r="A879" s="42"/>
      <c r="B879" s="59" t="s">
        <v>511</v>
      </c>
      <c r="C879" s="59"/>
      <c r="D879" s="59"/>
      <c r="E879" s="59"/>
      <c r="F879" s="59"/>
      <c r="G879" s="59"/>
      <c r="H879" s="59"/>
      <c r="I879" s="61"/>
      <c r="J879" s="62"/>
      <c r="K879" s="62"/>
      <c r="L879" s="62"/>
      <c r="M879" s="62"/>
      <c r="N879" s="62"/>
      <c r="O879" s="62"/>
      <c r="P879" s="62"/>
      <c r="Q879" s="62"/>
    </row>
    <row r="880" spans="1:17" ht="15" customHeight="1" x14ac:dyDescent="0.3">
      <c r="A880" s="42"/>
      <c r="B880" s="63"/>
      <c r="C880" s="63"/>
      <c r="D880" s="65"/>
      <c r="E880" s="49"/>
      <c r="F880" s="66"/>
      <c r="G880" s="48"/>
      <c r="H880" s="66"/>
      <c r="I880" s="48"/>
      <c r="J880" s="49"/>
      <c r="K880" s="49"/>
      <c r="L880" s="49"/>
      <c r="M880" s="49"/>
      <c r="N880" s="49"/>
      <c r="O880" s="49"/>
      <c r="P880" s="49"/>
      <c r="Q880" s="49"/>
    </row>
    <row r="881" spans="1:17" ht="29.1" customHeight="1" x14ac:dyDescent="0.25">
      <c r="A881" s="127" t="s">
        <v>528</v>
      </c>
      <c r="B881" s="77"/>
      <c r="C881" s="187" t="s">
        <v>41</v>
      </c>
      <c r="D881" s="187"/>
      <c r="E881" s="187"/>
      <c r="F881" s="187"/>
      <c r="G881" s="187"/>
      <c r="H881" s="187"/>
      <c r="I881" s="78" t="s">
        <v>42</v>
      </c>
      <c r="J881" s="41" t="s">
        <v>43</v>
      </c>
      <c r="K881" s="41">
        <v>1000</v>
      </c>
      <c r="L881" s="41">
        <v>2000</v>
      </c>
      <c r="M881" s="41">
        <v>3000</v>
      </c>
      <c r="N881" s="41">
        <v>4000</v>
      </c>
      <c r="O881" s="41">
        <v>5000</v>
      </c>
      <c r="P881" s="41">
        <v>6000</v>
      </c>
      <c r="Q881" s="41">
        <v>7000</v>
      </c>
    </row>
    <row r="882" spans="1:17" ht="15" customHeight="1" x14ac:dyDescent="0.3">
      <c r="A882" s="42"/>
      <c r="B882" s="44" t="s">
        <v>529</v>
      </c>
      <c r="C882" s="44" t="s">
        <v>45</v>
      </c>
      <c r="D882" s="47">
        <v>0.9</v>
      </c>
      <c r="E882" s="46" t="s">
        <v>47</v>
      </c>
      <c r="F882" s="47">
        <v>0.9</v>
      </c>
      <c r="G882" s="46" t="s">
        <v>48</v>
      </c>
      <c r="H882" s="47">
        <v>0.81</v>
      </c>
      <c r="I882" s="48">
        <v>8.5</v>
      </c>
      <c r="J882" s="49">
        <f>ROUND((2581*$T$1),0)*1.05</f>
        <v>2710.05</v>
      </c>
      <c r="K882" s="49">
        <f>ROUND((2868*$T$1),0)*1.05</f>
        <v>3011.4</v>
      </c>
      <c r="L882" s="49">
        <f>ROUND((2918*$T$1),0)*1.05</f>
        <v>3063.9</v>
      </c>
      <c r="M882" s="49">
        <f>ROUND((2976*$T$1),0)*1.05</f>
        <v>3124.8</v>
      </c>
      <c r="N882" s="49">
        <f>ROUND((3035*$T$1),0)*1.05</f>
        <v>3186.75</v>
      </c>
      <c r="O882" s="49">
        <f>ROUND((3071*$T$1),0)*1.05</f>
        <v>3224.55</v>
      </c>
      <c r="P882" s="49">
        <f>ROUND((4326*$T$1),0)*1.05</f>
        <v>4542.3</v>
      </c>
      <c r="Q882" s="49">
        <f>ROUND((3351*$T$1),0)*1.05</f>
        <v>3518.55</v>
      </c>
    </row>
    <row r="883" spans="1:17" ht="15" customHeight="1" x14ac:dyDescent="0.3">
      <c r="A883" s="42"/>
      <c r="B883" s="44" t="s">
        <v>100</v>
      </c>
      <c r="C883" s="44" t="s">
        <v>45</v>
      </c>
      <c r="D883" s="47">
        <v>1.6</v>
      </c>
      <c r="E883" s="46" t="s">
        <v>47</v>
      </c>
      <c r="F883" s="47">
        <v>0.9</v>
      </c>
      <c r="G883" s="46" t="s">
        <v>48</v>
      </c>
      <c r="H883" s="47">
        <v>0.81</v>
      </c>
      <c r="I883" s="48">
        <v>9.6</v>
      </c>
      <c r="J883" s="49">
        <f>ROUND((2933*$T$1),0)*1.05</f>
        <v>3079.65</v>
      </c>
      <c r="K883" s="49">
        <f>ROUND((3259*$T$1),0)*1.05</f>
        <v>3421.9500000000003</v>
      </c>
      <c r="L883" s="49">
        <f>ROUND((3315*$T$1),0)*1.05</f>
        <v>3480.75</v>
      </c>
      <c r="M883" s="49">
        <f>ROUND((3382*$T$1),0)*1.05</f>
        <v>3551.1000000000004</v>
      </c>
      <c r="N883" s="49">
        <f>ROUND((3449*$T$1),0)*1.05</f>
        <v>3621.4500000000003</v>
      </c>
      <c r="O883" s="49">
        <f>ROUND((3489*$T$1),0)*1.05</f>
        <v>3663.4500000000003</v>
      </c>
      <c r="P883" s="49">
        <f>ROUND((3609*$T$1),0)*1.05</f>
        <v>3789.4500000000003</v>
      </c>
      <c r="Q883" s="49">
        <f>ROUND((3808*$T$1),0)*1.05</f>
        <v>3998.4</v>
      </c>
    </row>
    <row r="884" spans="1:17" ht="15" customHeight="1" x14ac:dyDescent="0.3">
      <c r="A884" s="42"/>
      <c r="B884" s="44" t="s">
        <v>100</v>
      </c>
      <c r="C884" s="44" t="s">
        <v>45</v>
      </c>
      <c r="D884" s="47">
        <v>1.8</v>
      </c>
      <c r="E884" s="46" t="s">
        <v>47</v>
      </c>
      <c r="F884" s="47">
        <v>0.9</v>
      </c>
      <c r="G884" s="46" t="s">
        <v>48</v>
      </c>
      <c r="H884" s="47">
        <v>0.81</v>
      </c>
      <c r="I884" s="48">
        <v>9.8000000000000007</v>
      </c>
      <c r="J884" s="49">
        <f>ROUND((3023*$T$1),0)*1.05</f>
        <v>3174.15</v>
      </c>
      <c r="K884" s="49">
        <f>ROUND((3359*$T$1),0)*1.05</f>
        <v>3526.9500000000003</v>
      </c>
      <c r="L884" s="49">
        <f>ROUND((3419*$T$1),0)*1.05</f>
        <v>3589.9500000000003</v>
      </c>
      <c r="M884" s="49">
        <f>ROUND((3487*$T$1),0)*1.05</f>
        <v>3661.3500000000004</v>
      </c>
      <c r="N884" s="49">
        <f>ROUND((3556*$T$1),0)*1.05</f>
        <v>3733.8</v>
      </c>
      <c r="O884" s="49">
        <f>ROUND((3597*$T$1),0)*1.05</f>
        <v>3776.8500000000004</v>
      </c>
      <c r="P884" s="49">
        <f>ROUND((3720*$T$1),0)*1.05</f>
        <v>3906</v>
      </c>
      <c r="Q884" s="49">
        <f>ROUND((3926*$T$1),0)*1.05</f>
        <v>4122.3</v>
      </c>
    </row>
    <row r="885" spans="1:17" ht="15" customHeight="1" x14ac:dyDescent="0.3">
      <c r="A885" s="42"/>
      <c r="B885" s="44" t="s">
        <v>100</v>
      </c>
      <c r="C885" s="44" t="s">
        <v>45</v>
      </c>
      <c r="D885" s="47">
        <v>2</v>
      </c>
      <c r="E885" s="46" t="s">
        <v>47</v>
      </c>
      <c r="F885" s="47">
        <v>0.9</v>
      </c>
      <c r="G885" s="46" t="s">
        <v>48</v>
      </c>
      <c r="H885" s="47">
        <v>0.81</v>
      </c>
      <c r="I885" s="48">
        <v>10.1</v>
      </c>
      <c r="J885" s="49">
        <f>ROUND((3136*$T$1),0)*1.05</f>
        <v>3292.8</v>
      </c>
      <c r="K885" s="49">
        <f>ROUND((3485*$T$1),0)*1.05</f>
        <v>3659.25</v>
      </c>
      <c r="L885" s="49">
        <f>ROUND((3545*$T$1),0)*1.05</f>
        <v>3722.25</v>
      </c>
      <c r="M885" s="49">
        <f>ROUND((3617*$T$1),0)*1.05</f>
        <v>3797.8500000000004</v>
      </c>
      <c r="N885" s="49">
        <f>ROUND((3688*$T$1),0)*1.05</f>
        <v>3872.4</v>
      </c>
      <c r="O885" s="49">
        <f>ROUND((3731*$T$1),0)*1.05</f>
        <v>3917.55</v>
      </c>
      <c r="P885" s="49">
        <f>ROUND((3859*$T$1),0)*1.05</f>
        <v>4051.9500000000003</v>
      </c>
      <c r="Q885" s="49">
        <f>ROUND((4072*$T$1),0)*1.05</f>
        <v>4275.6000000000004</v>
      </c>
    </row>
    <row r="886" spans="1:17" ht="15" customHeight="1" x14ac:dyDescent="0.3">
      <c r="A886" s="42"/>
      <c r="B886" s="44" t="s">
        <v>102</v>
      </c>
      <c r="C886" s="44" t="s">
        <v>45</v>
      </c>
      <c r="D886" s="47">
        <v>2.2000000000000002</v>
      </c>
      <c r="E886" s="46" t="s">
        <v>47</v>
      </c>
      <c r="F886" s="47">
        <v>0.9</v>
      </c>
      <c r="G886" s="46" t="s">
        <v>48</v>
      </c>
      <c r="H886" s="47">
        <v>0.81</v>
      </c>
      <c r="I886" s="48">
        <v>10.4</v>
      </c>
      <c r="J886" s="49">
        <f>ROUND((3217*$T$1),0)*1.05</f>
        <v>3377.8500000000004</v>
      </c>
      <c r="K886" s="49">
        <f>ROUND((3574*$T$1),0)*1.05</f>
        <v>3752.7000000000003</v>
      </c>
      <c r="L886" s="49">
        <f>ROUND((3636*$T$1),0)*1.05</f>
        <v>3817.8</v>
      </c>
      <c r="M886" s="49">
        <f>ROUND((3709*$T$1),0)*1.05</f>
        <v>3894.4500000000003</v>
      </c>
      <c r="N886" s="49">
        <f>ROUND((3782*$T$1),0)*1.05</f>
        <v>3971.1000000000004</v>
      </c>
      <c r="O886" s="49">
        <f>ROUND((3927*$T$1),0)*1.05</f>
        <v>4123.3500000000004</v>
      </c>
      <c r="P886" s="49">
        <f>ROUND((3958*$T$1),0)*1.05</f>
        <v>4155.9000000000005</v>
      </c>
      <c r="Q886" s="49">
        <f>ROUND((4177*$T$1),0)*1.05</f>
        <v>4385.8500000000004</v>
      </c>
    </row>
    <row r="887" spans="1:17" ht="15" customHeight="1" x14ac:dyDescent="0.3">
      <c r="A887" s="42"/>
      <c r="B887" s="44" t="s">
        <v>102</v>
      </c>
      <c r="C887" s="44" t="s">
        <v>45</v>
      </c>
      <c r="D887" s="47">
        <v>2.4</v>
      </c>
      <c r="E887" s="46" t="s">
        <v>47</v>
      </c>
      <c r="F887" s="47">
        <v>0.9</v>
      </c>
      <c r="G887" s="46" t="s">
        <v>48</v>
      </c>
      <c r="H887" s="47">
        <v>0.81</v>
      </c>
      <c r="I887" s="48">
        <v>10.7</v>
      </c>
      <c r="J887" s="49">
        <f>ROUND((3315*$T$1),0)*1.05</f>
        <v>3480.75</v>
      </c>
      <c r="K887" s="49">
        <f>ROUND((3685*$T$1),0)*1.05</f>
        <v>3869.25</v>
      </c>
      <c r="L887" s="49">
        <f>ROUND((3749*$T$1),0)*1.05</f>
        <v>3936.4500000000003</v>
      </c>
      <c r="M887" s="49">
        <f>ROUND((3824*$T$1),0)*1.05</f>
        <v>4015.2000000000003</v>
      </c>
      <c r="N887" s="49">
        <f>ROUND((3900*$T$1),0)*1.05</f>
        <v>4095</v>
      </c>
      <c r="O887" s="49">
        <f>ROUND((3946*$T$1),0)*1.05</f>
        <v>4143.3</v>
      </c>
      <c r="P887" s="49">
        <f>ROUND((4080*$T$1),0)*1.05</f>
        <v>4284</v>
      </c>
      <c r="Q887" s="49">
        <f>ROUND((4306*$T$1),0)*1.05</f>
        <v>4521.3</v>
      </c>
    </row>
    <row r="888" spans="1:17" ht="15" customHeight="1" x14ac:dyDescent="0.3">
      <c r="A888" s="42"/>
      <c r="B888" s="44" t="s">
        <v>103</v>
      </c>
      <c r="C888" s="44" t="s">
        <v>45</v>
      </c>
      <c r="D888" s="47">
        <v>2.6</v>
      </c>
      <c r="E888" s="46" t="s">
        <v>47</v>
      </c>
      <c r="F888" s="47">
        <v>0.9</v>
      </c>
      <c r="G888" s="46" t="s">
        <v>48</v>
      </c>
      <c r="H888" s="47">
        <v>0.81</v>
      </c>
      <c r="I888" s="48">
        <v>11</v>
      </c>
      <c r="J888" s="49">
        <f>ROUND((3419*$T$1),0)*1.05</f>
        <v>3589.9500000000003</v>
      </c>
      <c r="K888" s="49">
        <f>ROUND((3798*$T$1),0)*1.05</f>
        <v>3987.9</v>
      </c>
      <c r="L888" s="49">
        <f>ROUND((3865*$T$1),0)*1.05</f>
        <v>4058.25</v>
      </c>
      <c r="M888" s="49">
        <f>ROUND((3942*$T$1),0)*1.05</f>
        <v>4139.1000000000004</v>
      </c>
      <c r="N888" s="49">
        <f>ROUND((4020*$T$1),0)*1.05</f>
        <v>4221</v>
      </c>
      <c r="O888" s="49">
        <f>ROUND((4068*$T$1),0)*1.05</f>
        <v>4271.4000000000005</v>
      </c>
      <c r="P888" s="49">
        <f>ROUND((4207*$T$1),0)*1.05</f>
        <v>4417.3500000000004</v>
      </c>
      <c r="Q888" s="49">
        <f>ROUND((4439*$T$1),0)*1.05</f>
        <v>4660.95</v>
      </c>
    </row>
    <row r="889" spans="1:17" ht="15" customHeight="1" x14ac:dyDescent="0.3">
      <c r="A889" s="42"/>
      <c r="B889" s="44" t="s">
        <v>103</v>
      </c>
      <c r="C889" s="44" t="s">
        <v>45</v>
      </c>
      <c r="D889" s="47">
        <v>2.8</v>
      </c>
      <c r="E889" s="46" t="s">
        <v>47</v>
      </c>
      <c r="F889" s="47">
        <v>0.9</v>
      </c>
      <c r="G889" s="46" t="s">
        <v>48</v>
      </c>
      <c r="H889" s="47">
        <v>0.81</v>
      </c>
      <c r="I889" s="48">
        <v>11</v>
      </c>
      <c r="J889" s="49">
        <f>ROUND((3525*$T$1),0)*1.05</f>
        <v>3701.25</v>
      </c>
      <c r="K889" s="49">
        <f>ROUND((3916*$T$1),0)*1.05</f>
        <v>4111.8</v>
      </c>
      <c r="L889" s="49">
        <f>ROUND((3935*$T$1),0)*1.05</f>
        <v>4131.75</v>
      </c>
      <c r="M889" s="49">
        <f>ROUND((4064*$T$1),0)*1.05</f>
        <v>4267.2</v>
      </c>
      <c r="N889" s="49">
        <f>ROUND((4145*$T$1),0)*1.05</f>
        <v>4352.25</v>
      </c>
      <c r="O889" s="49">
        <f>ROUND((4193*$T$1),0)*1.05</f>
        <v>4402.6500000000005</v>
      </c>
      <c r="P889" s="49">
        <f>ROUND((4337*$T$1),0)*1.05</f>
        <v>4553.8500000000004</v>
      </c>
      <c r="Q889" s="49">
        <f>ROUND((4576*$T$1),0)*1.05</f>
        <v>4804.8</v>
      </c>
    </row>
    <row r="890" spans="1:17" ht="15" customHeight="1" x14ac:dyDescent="0.3">
      <c r="A890" s="42"/>
      <c r="B890" s="44"/>
      <c r="C890" s="44"/>
      <c r="D890" s="47"/>
      <c r="E890" s="46"/>
      <c r="F890" s="47"/>
      <c r="G890" s="46"/>
      <c r="H890" s="47"/>
      <c r="I890" s="48"/>
      <c r="J890" s="49"/>
      <c r="K890" s="49"/>
      <c r="L890" s="49"/>
      <c r="M890" s="49"/>
      <c r="N890" s="49"/>
      <c r="O890" s="49"/>
      <c r="P890" s="49"/>
      <c r="Q890" s="49"/>
    </row>
    <row r="891" spans="1:17" ht="15" customHeight="1" x14ac:dyDescent="0.3">
      <c r="A891" s="42"/>
      <c r="B891" s="44" t="s">
        <v>524</v>
      </c>
      <c r="C891" s="44" t="s">
        <v>45</v>
      </c>
      <c r="D891" s="47">
        <v>2.2000000000000002</v>
      </c>
      <c r="E891" s="46" t="s">
        <v>47</v>
      </c>
      <c r="F891" s="47">
        <v>0.9</v>
      </c>
      <c r="G891" s="46" t="s">
        <v>48</v>
      </c>
      <c r="H891" s="47">
        <v>0.81</v>
      </c>
      <c r="I891" s="48">
        <v>11.6</v>
      </c>
      <c r="J891" s="49">
        <f>ROUND((3539*$T$1),0)*1.05</f>
        <v>3715.9500000000003</v>
      </c>
      <c r="K891" s="49">
        <f>ROUND((3931*$T$1),0)*1.05</f>
        <v>4127.55</v>
      </c>
      <c r="L891" s="49">
        <f>ROUND((4080*$T$1),0)*1.05</f>
        <v>4284</v>
      </c>
      <c r="M891" s="49">
        <f>ROUND((4080*$T$1),0)*1.05</f>
        <v>4284</v>
      </c>
      <c r="N891" s="49">
        <f>ROUND((4161*$T$1),0)*1.05</f>
        <v>4369.05</v>
      </c>
      <c r="O891" s="49">
        <f>ROUND((4209*$T$1),0)*1.05</f>
        <v>4419.45</v>
      </c>
      <c r="P891" s="49">
        <f>ROUND((4354*$T$1),0)*1.05</f>
        <v>4571.7</v>
      </c>
      <c r="Q891" s="49">
        <f>ROUND((4594*$T$1),0)*1.05</f>
        <v>4823.7</v>
      </c>
    </row>
    <row r="892" spans="1:17" ht="15" customHeight="1" x14ac:dyDescent="0.3">
      <c r="A892" s="42"/>
      <c r="B892" s="44" t="s">
        <v>524</v>
      </c>
      <c r="C892" s="44" t="s">
        <v>45</v>
      </c>
      <c r="D892" s="47">
        <v>2.4</v>
      </c>
      <c r="E892" s="46" t="s">
        <v>47</v>
      </c>
      <c r="F892" s="47">
        <v>0.9</v>
      </c>
      <c r="G892" s="46" t="s">
        <v>48</v>
      </c>
      <c r="H892" s="47">
        <v>0.81</v>
      </c>
      <c r="I892" s="48">
        <v>11.9</v>
      </c>
      <c r="J892" s="49">
        <f>ROUND((3648*$T$1),0)*1.05</f>
        <v>3830.4</v>
      </c>
      <c r="K892" s="49">
        <f>ROUND((4053*$T$1),0)*1.05</f>
        <v>4255.6500000000005</v>
      </c>
      <c r="L892" s="49">
        <f>ROUND((4207*$T$1),0)*1.05</f>
        <v>4417.3500000000004</v>
      </c>
      <c r="M892" s="49">
        <f>ROUND((4207*$T$1),0)*1.05</f>
        <v>4417.3500000000004</v>
      </c>
      <c r="N892" s="49">
        <f>ROUND((4290*$T$1),0)*1.05</f>
        <v>4504.5</v>
      </c>
      <c r="O892" s="49">
        <f>ROUND((4340*$T$1),0)*1.05</f>
        <v>4557</v>
      </c>
      <c r="P892" s="49">
        <f>ROUND((4488*$T$1),0)*1.05</f>
        <v>4712.4000000000005</v>
      </c>
      <c r="Q892" s="49">
        <f>ROUND((4736*$T$1),0)*1.05</f>
        <v>4972.8</v>
      </c>
    </row>
    <row r="893" spans="1:17" ht="15" customHeight="1" x14ac:dyDescent="0.3">
      <c r="A893" s="42"/>
      <c r="B893" s="44" t="s">
        <v>525</v>
      </c>
      <c r="C893" s="44" t="s">
        <v>45</v>
      </c>
      <c r="D893" s="47">
        <v>2.6</v>
      </c>
      <c r="E893" s="46" t="s">
        <v>47</v>
      </c>
      <c r="F893" s="47">
        <v>0.9</v>
      </c>
      <c r="G893" s="46" t="s">
        <v>48</v>
      </c>
      <c r="H893" s="47">
        <v>0.81</v>
      </c>
      <c r="I893" s="48">
        <v>12.3</v>
      </c>
      <c r="J893" s="49">
        <f>ROUND((3761*$T$1),0)*1.05</f>
        <v>3949.05</v>
      </c>
      <c r="K893" s="49">
        <f>ROUND((4178*$T$1),0)*1.05</f>
        <v>4386.9000000000005</v>
      </c>
      <c r="L893" s="49">
        <f>ROUND((4337*$T$1),0)*1.05</f>
        <v>4553.8500000000004</v>
      </c>
      <c r="M893" s="49">
        <f>ROUND((4337*$T$1),0)*1.05</f>
        <v>4553.8500000000004</v>
      </c>
      <c r="N893" s="49">
        <f>ROUND((4422*$T$1),0)*1.05</f>
        <v>4643.1000000000004</v>
      </c>
      <c r="O893" s="49">
        <f>ROUND((4474*$T$1),0)*1.05</f>
        <v>4697.7</v>
      </c>
      <c r="P893" s="49">
        <f>ROUND((4628*$T$1),0)*1.05</f>
        <v>4859.4000000000005</v>
      </c>
      <c r="Q893" s="49">
        <f>ROUND((4883*$T$1),0)*1.05</f>
        <v>5127.1500000000005</v>
      </c>
    </row>
    <row r="894" spans="1:17" ht="15" customHeight="1" x14ac:dyDescent="0.3">
      <c r="A894" s="42"/>
      <c r="B894" s="44" t="s">
        <v>525</v>
      </c>
      <c r="C894" s="44" t="s">
        <v>45</v>
      </c>
      <c r="D894" s="47">
        <v>2.8</v>
      </c>
      <c r="E894" s="46" t="s">
        <v>47</v>
      </c>
      <c r="F894" s="47">
        <v>0.9</v>
      </c>
      <c r="G894" s="46" t="s">
        <v>48</v>
      </c>
      <c r="H894" s="47">
        <v>0.81</v>
      </c>
      <c r="I894" s="48">
        <v>12.3</v>
      </c>
      <c r="J894" s="49">
        <f>ROUND((3877*$T$1),0)*1.05</f>
        <v>4070.8500000000004</v>
      </c>
      <c r="K894" s="49">
        <f>ROUND((4308*$T$1),0)*1.05</f>
        <v>4523.4000000000005</v>
      </c>
      <c r="L894" s="49">
        <f>ROUND((4470*$T$1),0)*1.05</f>
        <v>4693.5</v>
      </c>
      <c r="M894" s="49">
        <f>ROUND((4470*$T$1),0)*1.05</f>
        <v>4693.5</v>
      </c>
      <c r="N894" s="49">
        <f>ROUND((4559*$T$1),0)*1.05</f>
        <v>4786.95</v>
      </c>
      <c r="O894" s="49">
        <f>ROUND((4613*$T$1),0)*1.05</f>
        <v>4843.6500000000005</v>
      </c>
      <c r="P894" s="49">
        <f>ROUND((4770*$T$1),0)*1.05</f>
        <v>5008.5</v>
      </c>
      <c r="Q894" s="49">
        <f>ROUND((5034*$T$1),0)*1.05</f>
        <v>5285.7</v>
      </c>
    </row>
    <row r="895" spans="1:17" ht="15" customHeight="1" x14ac:dyDescent="0.3">
      <c r="A895" s="42"/>
      <c r="B895" s="63"/>
      <c r="C895" s="63"/>
      <c r="D895" s="63"/>
      <c r="E895" s="63"/>
      <c r="F895" s="63"/>
      <c r="G895" s="63"/>
      <c r="H895" s="63"/>
      <c r="I895" s="48"/>
      <c r="J895" s="49"/>
      <c r="K895" s="49"/>
      <c r="L895" s="49"/>
      <c r="M895" s="49"/>
      <c r="N895" s="49"/>
      <c r="O895" s="49"/>
      <c r="P895" s="49"/>
      <c r="Q895" s="49"/>
    </row>
    <row r="896" spans="1:17" ht="15" customHeight="1" x14ac:dyDescent="0.3">
      <c r="A896" s="42"/>
      <c r="B896" s="97" t="s">
        <v>98</v>
      </c>
      <c r="C896" s="44" t="s">
        <v>45</v>
      </c>
      <c r="D896" s="140">
        <v>0.75</v>
      </c>
      <c r="E896" s="46" t="s">
        <v>47</v>
      </c>
      <c r="F896" s="99">
        <v>0.65</v>
      </c>
      <c r="G896" s="46" t="s">
        <v>48</v>
      </c>
      <c r="H896" s="140">
        <v>0.5</v>
      </c>
      <c r="I896" s="48">
        <v>2.2000000000000002</v>
      </c>
      <c r="J896" s="49">
        <f>ROUND((782*$T$1),0)*1.05</f>
        <v>821.1</v>
      </c>
      <c r="K896" s="49">
        <f>ROUND((806*$T$1),0)*1.05</f>
        <v>846.30000000000007</v>
      </c>
      <c r="L896" s="49">
        <f>ROUND((820*$T$1),0)*1.05</f>
        <v>861</v>
      </c>
      <c r="M896" s="49">
        <f>ROUND((836*$T$1),0)*1.05</f>
        <v>877.80000000000007</v>
      </c>
      <c r="N896" s="49">
        <f>ROUND((852*$T$1),0)*1.05</f>
        <v>894.6</v>
      </c>
      <c r="O896" s="49">
        <f>ROUND((861*$T$1),0)*1.05</f>
        <v>904.05000000000007</v>
      </c>
      <c r="P896" s="49">
        <f>ROUND((890*$T$1),0)*1.05</f>
        <v>934.5</v>
      </c>
      <c r="Q896" s="49">
        <f>ROUND((940*$T$1),0)*1.05</f>
        <v>987</v>
      </c>
    </row>
    <row r="897" spans="1:17" ht="15" customHeight="1" x14ac:dyDescent="0.3">
      <c r="A897" s="42"/>
      <c r="B897" s="97" t="s">
        <v>98</v>
      </c>
      <c r="C897" s="44" t="s">
        <v>45</v>
      </c>
      <c r="D897" s="140">
        <v>0.85</v>
      </c>
      <c r="E897" s="46" t="s">
        <v>47</v>
      </c>
      <c r="F897" s="99">
        <v>0.65</v>
      </c>
      <c r="G897" s="46" t="s">
        <v>48</v>
      </c>
      <c r="H897" s="140">
        <v>0.5</v>
      </c>
      <c r="I897" s="48">
        <v>2.2999999999999998</v>
      </c>
      <c r="J897" s="49">
        <f>ROUND((805*$T$1),0)*1.05</f>
        <v>845.25</v>
      </c>
      <c r="K897" s="49">
        <f>ROUND((831*$T$1),0)*1.05</f>
        <v>872.55000000000007</v>
      </c>
      <c r="L897" s="49">
        <f>ROUND((846*$T$1),0)*1.05</f>
        <v>888.30000000000007</v>
      </c>
      <c r="M897" s="49">
        <f>ROUND((864*$T$1),0)*1.05</f>
        <v>907.2</v>
      </c>
      <c r="N897" s="49">
        <f>ROUND((880*$T$1),0)*1.05</f>
        <v>924</v>
      </c>
      <c r="O897" s="49">
        <f>ROUND((890*$T$1),0)*1.05</f>
        <v>934.5</v>
      </c>
      <c r="P897" s="49">
        <f>ROUND((920*$T$1),0)*1.05</f>
        <v>966</v>
      </c>
      <c r="Q897" s="49">
        <f>ROUND((971*$T$1),0)*1.05</f>
        <v>1019.5500000000001</v>
      </c>
    </row>
    <row r="898" spans="1:17" ht="15" customHeight="1" x14ac:dyDescent="0.3">
      <c r="A898" s="42"/>
      <c r="B898" s="97" t="s">
        <v>98</v>
      </c>
      <c r="C898" s="44" t="s">
        <v>45</v>
      </c>
      <c r="D898" s="140">
        <v>0.95</v>
      </c>
      <c r="E898" s="46" t="s">
        <v>47</v>
      </c>
      <c r="F898" s="99">
        <v>0.65</v>
      </c>
      <c r="G898" s="46" t="s">
        <v>48</v>
      </c>
      <c r="H898" s="140">
        <v>0.5</v>
      </c>
      <c r="I898" s="48">
        <v>2.5</v>
      </c>
      <c r="J898" s="49">
        <f>ROUND((817*$T$1),0)*1.05</f>
        <v>857.85</v>
      </c>
      <c r="K898" s="49">
        <f>ROUND((860*$T$1),0)*1.05</f>
        <v>903</v>
      </c>
      <c r="L898" s="49">
        <f>ROUND((876*$T$1),0)*1.05</f>
        <v>919.80000000000007</v>
      </c>
      <c r="M898" s="49">
        <f>ROUND((895*$T$1),0)*1.05</f>
        <v>939.75</v>
      </c>
      <c r="N898" s="49">
        <f>ROUND((913*$T$1),0)*1.05</f>
        <v>958.65000000000009</v>
      </c>
      <c r="O898" s="49">
        <f>ROUND((925*$T$1),0)*1.05</f>
        <v>971.25</v>
      </c>
      <c r="P898" s="49">
        <f>ROUND((958*$T$1),0)*1.05</f>
        <v>1005.9000000000001</v>
      </c>
      <c r="Q898" s="49">
        <f>ROUND((1013*$T$1),0)*1.05</f>
        <v>1063.6500000000001</v>
      </c>
    </row>
    <row r="899" spans="1:17" ht="15" customHeight="1" x14ac:dyDescent="0.3">
      <c r="A899" s="42"/>
      <c r="B899" s="97" t="s">
        <v>98</v>
      </c>
      <c r="C899" s="44" t="s">
        <v>45</v>
      </c>
      <c r="D899" s="140">
        <v>1.05</v>
      </c>
      <c r="E899" s="46" t="s">
        <v>47</v>
      </c>
      <c r="F899" s="99">
        <v>0.65</v>
      </c>
      <c r="G899" s="46" t="s">
        <v>48</v>
      </c>
      <c r="H899" s="140">
        <v>0.5</v>
      </c>
      <c r="I899" s="48">
        <v>2.8</v>
      </c>
      <c r="J899" s="49">
        <f>ROUND((863*$T$1),0)*1.05</f>
        <v>906.15000000000009</v>
      </c>
      <c r="K899" s="49">
        <f>ROUND((895*$T$1),0)*1.05</f>
        <v>939.75</v>
      </c>
      <c r="L899" s="49">
        <f>ROUND((913*$T$1),0)*1.05</f>
        <v>958.65000000000009</v>
      </c>
      <c r="M899" s="49">
        <f>ROUND((934*$T$1),0)*1.05</f>
        <v>980.7</v>
      </c>
      <c r="N899" s="49">
        <f>ROUND((955*$T$1),0)*1.05</f>
        <v>1002.75</v>
      </c>
      <c r="O899" s="49">
        <f>ROUND((966*$T$1),0)*1.05</f>
        <v>1014.3000000000001</v>
      </c>
      <c r="P899" s="49">
        <f>ROUND((1003*$T$1),0)*1.05</f>
        <v>1053.1500000000001</v>
      </c>
      <c r="Q899" s="49">
        <f>ROUND((1064*$T$1),0)*1.05</f>
        <v>1117.2</v>
      </c>
    </row>
    <row r="900" spans="1:17" ht="15" customHeight="1" x14ac:dyDescent="0.3">
      <c r="A900" s="42"/>
      <c r="B900" s="97" t="s">
        <v>98</v>
      </c>
      <c r="C900" s="44" t="s">
        <v>45</v>
      </c>
      <c r="D900" s="140">
        <v>1.1499999999999999</v>
      </c>
      <c r="E900" s="46" t="s">
        <v>47</v>
      </c>
      <c r="F900" s="99">
        <v>0.65</v>
      </c>
      <c r="G900" s="46" t="s">
        <v>48</v>
      </c>
      <c r="H900" s="140">
        <v>0.5</v>
      </c>
      <c r="I900" s="48">
        <v>3</v>
      </c>
      <c r="J900" s="49">
        <f>ROUND((886*$T$1),0)*1.05</f>
        <v>930.30000000000007</v>
      </c>
      <c r="K900" s="49">
        <f>ROUND((918*$T$1),0)*1.05</f>
        <v>963.90000000000009</v>
      </c>
      <c r="L900" s="49">
        <f>ROUND((937*$T$1),0)*1.05</f>
        <v>983.85</v>
      </c>
      <c r="M900" s="49">
        <f>ROUND((959*$T$1),0)*1.05</f>
        <v>1006.95</v>
      </c>
      <c r="N900" s="49">
        <f>ROUND((981*$T$1),0)*1.05</f>
        <v>1030.05</v>
      </c>
      <c r="O900" s="49">
        <f>ROUND((995*$T$1),0)*1.05</f>
        <v>1044.75</v>
      </c>
      <c r="P900" s="49">
        <f>ROUND((1034*$T$1),0)*1.05</f>
        <v>1085.7</v>
      </c>
      <c r="Q900" s="49">
        <f>ROUND((1099*$T$1),0)*1.05</f>
        <v>1153.95</v>
      </c>
    </row>
    <row r="901" spans="1:17" ht="15" customHeight="1" x14ac:dyDescent="0.3">
      <c r="A901" s="42"/>
      <c r="B901" s="97" t="s">
        <v>98</v>
      </c>
      <c r="C901" s="44" t="s">
        <v>45</v>
      </c>
      <c r="D901" s="140">
        <v>1.25</v>
      </c>
      <c r="E901" s="46" t="s">
        <v>47</v>
      </c>
      <c r="F901" s="99">
        <v>0.65</v>
      </c>
      <c r="G901" s="46" t="s">
        <v>48</v>
      </c>
      <c r="H901" s="140">
        <v>0.5</v>
      </c>
      <c r="I901" s="48">
        <v>3.3</v>
      </c>
      <c r="J901" s="49">
        <f>ROUND((920*$T$1),0)*1.05</f>
        <v>966</v>
      </c>
      <c r="K901" s="49">
        <f>ROUND((945*$T$1),0)*1.05</f>
        <v>992.25</v>
      </c>
      <c r="L901" s="49">
        <f>ROUND((966*$T$1),0)*1.05</f>
        <v>1014.3000000000001</v>
      </c>
      <c r="M901" s="49">
        <f>ROUND((990*$T$1),0)*1.05</f>
        <v>1039.5</v>
      </c>
      <c r="N901" s="49">
        <f>ROUND((1014*$T$1),0)*1.05</f>
        <v>1064.7</v>
      </c>
      <c r="O901" s="49">
        <f>ROUND((1028*$T$1),0)*1.05</f>
        <v>1079.4000000000001</v>
      </c>
      <c r="P901" s="49">
        <f>ROUND((1071*$T$1),0)*1.05</f>
        <v>1124.55</v>
      </c>
      <c r="Q901" s="49">
        <f>ROUND((1142*$T$1),0)*1.05</f>
        <v>1199.1000000000001</v>
      </c>
    </row>
    <row r="902" spans="1:17" ht="15" customHeight="1" x14ac:dyDescent="0.3">
      <c r="A902" s="42"/>
      <c r="B902" s="97" t="s">
        <v>98</v>
      </c>
      <c r="C902" s="44" t="s">
        <v>45</v>
      </c>
      <c r="D902" s="140">
        <v>1.35</v>
      </c>
      <c r="E902" s="46" t="s">
        <v>47</v>
      </c>
      <c r="F902" s="99">
        <v>0.65</v>
      </c>
      <c r="G902" s="46" t="s">
        <v>48</v>
      </c>
      <c r="H902" s="140">
        <v>0.5</v>
      </c>
      <c r="I902" s="48">
        <v>3.5</v>
      </c>
      <c r="J902" s="49">
        <f>ROUND((955*$T$1),0)*1.05</f>
        <v>1002.75</v>
      </c>
      <c r="K902" s="49">
        <f>ROUND((980*$T$1),0)*1.05</f>
        <v>1029</v>
      </c>
      <c r="L902" s="49">
        <f>ROUND((1003*$T$1),0)*1.05</f>
        <v>1053.1500000000001</v>
      </c>
      <c r="M902" s="49">
        <f>ROUND((1028*$T$1),0)*1.05</f>
        <v>1079.4000000000001</v>
      </c>
      <c r="N902" s="49">
        <f>ROUND((1053*$T$1),0)*1.05</f>
        <v>1105.6500000000001</v>
      </c>
      <c r="O902" s="49">
        <f>ROUND((1068*$T$1),0)*1.05</f>
        <v>1121.4000000000001</v>
      </c>
      <c r="P902" s="49">
        <f>ROUND((1114*$T$1),0)*1.05</f>
        <v>1169.7</v>
      </c>
      <c r="Q902" s="49">
        <f>ROUND((1191*$T$1),0)*1.05</f>
        <v>1250.55</v>
      </c>
    </row>
    <row r="903" spans="1:17" ht="15" customHeight="1" x14ac:dyDescent="0.3">
      <c r="A903" s="42"/>
      <c r="B903" s="97"/>
      <c r="C903" s="44"/>
      <c r="D903" s="140"/>
      <c r="E903" s="46"/>
      <c r="F903" s="99"/>
      <c r="G903" s="46"/>
      <c r="H903" s="140"/>
      <c r="I903" s="48"/>
      <c r="J903" s="49"/>
      <c r="K903" s="49"/>
      <c r="L903" s="49"/>
      <c r="M903" s="87" t="s">
        <v>134</v>
      </c>
      <c r="N903" s="49"/>
      <c r="O903" s="49"/>
      <c r="P903" s="49"/>
      <c r="Q903" s="49"/>
    </row>
    <row r="904" spans="1:17" ht="15" customHeight="1" x14ac:dyDescent="0.3">
      <c r="A904" s="42"/>
      <c r="B904" s="59" t="s">
        <v>530</v>
      </c>
      <c r="C904" s="141"/>
      <c r="D904" s="141"/>
      <c r="E904" s="141"/>
      <c r="F904" s="141"/>
      <c r="G904" s="141"/>
      <c r="H904" s="141"/>
      <c r="I904" s="78"/>
      <c r="J904" s="128"/>
      <c r="K904" s="128"/>
      <c r="L904" s="128"/>
      <c r="M904" s="128"/>
      <c r="N904" s="128"/>
      <c r="O904" s="128"/>
      <c r="P904" s="128"/>
      <c r="Q904" s="128"/>
    </row>
    <row r="905" spans="1:17" ht="15" customHeight="1" x14ac:dyDescent="0.3">
      <c r="A905" s="63"/>
      <c r="B905" s="63"/>
      <c r="C905" s="63"/>
      <c r="D905" s="63"/>
      <c r="E905" s="63"/>
      <c r="F905" s="63"/>
      <c r="G905" s="63"/>
      <c r="H905" s="63"/>
      <c r="I905" s="48"/>
      <c r="J905" s="49"/>
      <c r="K905" s="49"/>
      <c r="L905" s="49"/>
      <c r="M905" s="49"/>
      <c r="N905" s="49"/>
      <c r="O905" s="49"/>
      <c r="P905" s="49"/>
      <c r="Q905" s="49"/>
    </row>
    <row r="906" spans="1:17" ht="29.1" customHeight="1" x14ac:dyDescent="0.25">
      <c r="A906" s="127" t="s">
        <v>531</v>
      </c>
      <c r="B906" s="77"/>
      <c r="C906" s="187" t="s">
        <v>41</v>
      </c>
      <c r="D906" s="187"/>
      <c r="E906" s="187"/>
      <c r="F906" s="187"/>
      <c r="G906" s="187"/>
      <c r="H906" s="187"/>
      <c r="I906" s="78" t="s">
        <v>42</v>
      </c>
      <c r="J906" s="41" t="s">
        <v>43</v>
      </c>
      <c r="K906" s="41">
        <v>1000</v>
      </c>
      <c r="L906" s="41">
        <v>2000</v>
      </c>
      <c r="M906" s="41">
        <v>3000</v>
      </c>
      <c r="N906" s="41">
        <v>4000</v>
      </c>
      <c r="O906" s="41">
        <v>5000</v>
      </c>
      <c r="P906" s="41">
        <v>6000</v>
      </c>
      <c r="Q906" s="41">
        <v>7000</v>
      </c>
    </row>
    <row r="907" spans="1:17" ht="15" customHeight="1" x14ac:dyDescent="0.3">
      <c r="A907" s="42"/>
      <c r="B907" s="44" t="s">
        <v>532</v>
      </c>
      <c r="C907" s="44" t="s">
        <v>45</v>
      </c>
      <c r="D907" s="47">
        <v>0.8</v>
      </c>
      <c r="E907" s="46" t="s">
        <v>47</v>
      </c>
      <c r="F907" s="47">
        <v>1</v>
      </c>
      <c r="G907" s="46" t="s">
        <v>48</v>
      </c>
      <c r="H907" s="47">
        <v>0.71</v>
      </c>
      <c r="I907" s="48">
        <v>5.6</v>
      </c>
      <c r="J907" s="49">
        <f>ROUND((2395*$T$1),0)*1.05</f>
        <v>2514.75</v>
      </c>
      <c r="K907" s="49">
        <f>ROUND((2661*$T$1),0)*1.05</f>
        <v>2794.05</v>
      </c>
      <c r="L907" s="49">
        <f>ROUND((2697*$T$1),0)*1.05</f>
        <v>2831.85</v>
      </c>
      <c r="M907" s="49">
        <f>ROUND((2736*$T$1),0)*1.05</f>
        <v>2872.8</v>
      </c>
      <c r="N907" s="49">
        <f>ROUND((2777*$T$1),0)*1.05</f>
        <v>2915.85</v>
      </c>
      <c r="O907" s="49">
        <f>ROUND((2800*$T$1),0)*1.05</f>
        <v>2940</v>
      </c>
      <c r="P907" s="49">
        <f>ROUND((2873*$T$1),0)*1.05</f>
        <v>3016.65</v>
      </c>
      <c r="Q907" s="49">
        <f>ROUND((2993*$T$1),0)*1.05</f>
        <v>3142.65</v>
      </c>
    </row>
    <row r="908" spans="1:17" ht="15" customHeight="1" x14ac:dyDescent="0.3">
      <c r="A908" s="42"/>
      <c r="B908" s="44" t="s">
        <v>115</v>
      </c>
      <c r="C908" s="44" t="s">
        <v>45</v>
      </c>
      <c r="D908" s="47">
        <v>0.9</v>
      </c>
      <c r="E908" s="46" t="s">
        <v>47</v>
      </c>
      <c r="F908" s="47">
        <v>1</v>
      </c>
      <c r="G908" s="46" t="s">
        <v>48</v>
      </c>
      <c r="H908" s="47">
        <v>0.71</v>
      </c>
      <c r="I908" s="48">
        <v>5.7</v>
      </c>
      <c r="J908" s="49">
        <f>ROUND((2456*$T$1),0)*1.05</f>
        <v>2578.8000000000002</v>
      </c>
      <c r="K908" s="49">
        <f>ROUND((2730*$T$1),0)*1.05</f>
        <v>2866.5</v>
      </c>
      <c r="L908" s="49">
        <f>ROUND((2766*$T$1),0)*1.05</f>
        <v>2904.3</v>
      </c>
      <c r="M908" s="49">
        <f>ROUND((2806*$T$1),0)*1.05</f>
        <v>2946.3</v>
      </c>
      <c r="N908" s="49">
        <f>ROUND((2849*$T$1),0)*1.05</f>
        <v>2991.4500000000003</v>
      </c>
      <c r="O908" s="49">
        <f>ROUND((2873*$T$1),0)*1.05</f>
        <v>3016.65</v>
      </c>
      <c r="P908" s="49">
        <f>ROUND((2946*$T$1),0)*1.05</f>
        <v>3093.3</v>
      </c>
      <c r="Q908" s="49">
        <f>ROUND((3069*$T$1),0)*1.05</f>
        <v>3222.4500000000003</v>
      </c>
    </row>
    <row r="909" spans="1:17" ht="15" customHeight="1" x14ac:dyDescent="0.3">
      <c r="A909" s="42"/>
      <c r="B909" s="44" t="s">
        <v>486</v>
      </c>
      <c r="C909" s="44" t="s">
        <v>45</v>
      </c>
      <c r="D909" s="47">
        <v>1</v>
      </c>
      <c r="E909" s="46" t="s">
        <v>47</v>
      </c>
      <c r="F909" s="47">
        <v>1</v>
      </c>
      <c r="G909" s="46" t="s">
        <v>48</v>
      </c>
      <c r="H909" s="47">
        <v>0.71</v>
      </c>
      <c r="I909" s="48">
        <v>5.8</v>
      </c>
      <c r="J909" s="49">
        <f>ROUND((2520*$T$1),0)*1.05</f>
        <v>2646</v>
      </c>
      <c r="K909" s="49">
        <f>ROUND((2800*$T$1),0)*1.05</f>
        <v>2940</v>
      </c>
      <c r="L909" s="49">
        <f>ROUND((2837*$T$1),0)*1.05</f>
        <v>2978.85</v>
      </c>
      <c r="M909" s="49">
        <f>ROUND((2878*$T$1),0)*1.05</f>
        <v>3021.9</v>
      </c>
      <c r="N909" s="49">
        <f>ROUND((2921*$T$1),0)*1.05</f>
        <v>3067.05</v>
      </c>
      <c r="O909" s="49">
        <f>ROUND((2946*$T$1),0)*1.05</f>
        <v>3093.3</v>
      </c>
      <c r="P909" s="49">
        <f>ROUND((3022*$T$1),0)*1.05</f>
        <v>3173.1</v>
      </c>
      <c r="Q909" s="49">
        <f>ROUND((3149*$T$1),0)*1.05</f>
        <v>3306.4500000000003</v>
      </c>
    </row>
    <row r="910" spans="1:17" ht="15" customHeight="1" x14ac:dyDescent="0.3">
      <c r="A910" s="42"/>
      <c r="B910" s="44" t="s">
        <v>533</v>
      </c>
      <c r="C910" s="44" t="s">
        <v>45</v>
      </c>
      <c r="D910" s="47">
        <v>1.1000000000000001</v>
      </c>
      <c r="E910" s="46" t="s">
        <v>47</v>
      </c>
      <c r="F910" s="47">
        <v>1</v>
      </c>
      <c r="G910" s="46" t="s">
        <v>48</v>
      </c>
      <c r="H910" s="47">
        <v>0.71</v>
      </c>
      <c r="I910" s="48">
        <v>5.9</v>
      </c>
      <c r="J910" s="49">
        <f>ROUND((2584*$T$1),0)*1.05</f>
        <v>2713.2000000000003</v>
      </c>
      <c r="K910" s="49">
        <f>ROUND((2872*$T$1),0)*1.05</f>
        <v>3015.6</v>
      </c>
      <c r="L910" s="49">
        <f>ROUND((2910*$T$1),0)*1.05</f>
        <v>3055.5</v>
      </c>
      <c r="M910" s="49">
        <f>ROUND((2952*$T$1),0)*1.05</f>
        <v>3099.6</v>
      </c>
      <c r="N910" s="49">
        <f>ROUND((2996*$T$1),0)*1.05</f>
        <v>3145.8</v>
      </c>
      <c r="O910" s="49">
        <f>ROUND((3022*$T$1),0)*1.05</f>
        <v>3173.1</v>
      </c>
      <c r="P910" s="49">
        <f>ROUND((3099*$T$1),0)*1.05</f>
        <v>3253.9500000000003</v>
      </c>
      <c r="Q910" s="49">
        <f>ROUND((3229*$T$1),0)*1.05</f>
        <v>3390.4500000000003</v>
      </c>
    </row>
    <row r="911" spans="1:17" ht="15" customHeight="1" x14ac:dyDescent="0.3">
      <c r="A911" s="42"/>
      <c r="B911" s="142" t="s">
        <v>116</v>
      </c>
      <c r="C911" s="44" t="s">
        <v>45</v>
      </c>
      <c r="D911" s="47">
        <v>1.2</v>
      </c>
      <c r="E911" s="46" t="s">
        <v>47</v>
      </c>
      <c r="F911" s="47">
        <v>1</v>
      </c>
      <c r="G911" s="46" t="s">
        <v>48</v>
      </c>
      <c r="H911" s="47">
        <v>0.71</v>
      </c>
      <c r="I911" s="48">
        <v>6</v>
      </c>
      <c r="J911" s="49">
        <f>ROUND((2651*$T$1),0)*1.05</f>
        <v>2783.55</v>
      </c>
      <c r="K911" s="49">
        <f>ROUND((2945*$T$1),0)*1.05</f>
        <v>3092.25</v>
      </c>
      <c r="L911" s="49">
        <f>ROUND((2984*$T$1),0)*1.05</f>
        <v>3133.2000000000003</v>
      </c>
      <c r="M911" s="49">
        <f>ROUND((3028*$T$1),0)*1.05</f>
        <v>3179.4</v>
      </c>
      <c r="N911" s="49">
        <f>ROUND((3073*$T$1),0)*1.05</f>
        <v>3226.65</v>
      </c>
      <c r="O911" s="49">
        <f>ROUND((3099*$T$1),0)*1.05</f>
        <v>3253.9500000000003</v>
      </c>
      <c r="P911" s="49">
        <f>ROUND((3179*$T$1),0)*1.05</f>
        <v>3337.9500000000003</v>
      </c>
      <c r="Q911" s="49">
        <f>ROUND((3312*$T$1),0)*1.05</f>
        <v>3477.6000000000004</v>
      </c>
    </row>
    <row r="912" spans="1:17" ht="15" customHeight="1" x14ac:dyDescent="0.3">
      <c r="A912" s="42"/>
      <c r="B912" s="44"/>
      <c r="C912" s="44"/>
      <c r="D912" s="47"/>
      <c r="E912" s="46"/>
      <c r="F912" s="47"/>
      <c r="G912" s="46"/>
      <c r="H912" s="47"/>
      <c r="I912" s="48"/>
      <c r="J912" s="49"/>
      <c r="K912" s="49"/>
      <c r="L912" s="49"/>
      <c r="M912" s="49"/>
      <c r="N912" s="49"/>
      <c r="O912" s="49"/>
      <c r="P912" s="49"/>
      <c r="Q912" s="49"/>
    </row>
    <row r="913" spans="1:17" ht="15" customHeight="1" x14ac:dyDescent="0.3">
      <c r="A913" s="42"/>
      <c r="B913" s="44" t="s">
        <v>534</v>
      </c>
      <c r="C913" s="44" t="s">
        <v>45</v>
      </c>
      <c r="D913" s="47">
        <v>1.1000000000000001</v>
      </c>
      <c r="E913" s="46" t="s">
        <v>47</v>
      </c>
      <c r="F913" s="47">
        <v>1</v>
      </c>
      <c r="G913" s="46" t="s">
        <v>48</v>
      </c>
      <c r="H913" s="47">
        <v>0.71</v>
      </c>
      <c r="I913" s="48">
        <v>5.9</v>
      </c>
      <c r="J913" s="49">
        <f>ROUND((2515*$T$1),0)*1.05</f>
        <v>2640.75</v>
      </c>
      <c r="K913" s="49">
        <f>ROUND((2795*$T$1),0)*1.05</f>
        <v>2934.75</v>
      </c>
      <c r="L913" s="49">
        <f>ROUND((2831*$T$1),0)*1.05</f>
        <v>2972.55</v>
      </c>
      <c r="M913" s="49">
        <f>ROUND((2873*$T$1),0)*1.05</f>
        <v>3016.65</v>
      </c>
      <c r="N913" s="49">
        <f>ROUND((2915*$T$1),0)*1.05</f>
        <v>3060.75</v>
      </c>
      <c r="O913" s="49">
        <f>ROUND((2941*$T$1),0)*1.05</f>
        <v>3088.05</v>
      </c>
      <c r="P913" s="49">
        <f>ROUND((3016*$T$1),0)*1.05</f>
        <v>3166.8</v>
      </c>
      <c r="Q913" s="49">
        <f>ROUND((3143*$T$1),0)*1.05</f>
        <v>3300.15</v>
      </c>
    </row>
    <row r="914" spans="1:17" ht="15" customHeight="1" x14ac:dyDescent="0.3">
      <c r="A914" s="42"/>
      <c r="B914" s="44" t="s">
        <v>535</v>
      </c>
      <c r="C914" s="44" t="s">
        <v>45</v>
      </c>
      <c r="D914" s="47">
        <v>1.2</v>
      </c>
      <c r="E914" s="46" t="s">
        <v>47</v>
      </c>
      <c r="F914" s="47">
        <v>1</v>
      </c>
      <c r="G914" s="46" t="s">
        <v>48</v>
      </c>
      <c r="H914" s="47">
        <v>0.71</v>
      </c>
      <c r="I914" s="48">
        <v>6</v>
      </c>
      <c r="J914" s="49">
        <f>ROUND((2579*$T$1),0)*1.05</f>
        <v>2707.9500000000003</v>
      </c>
      <c r="K914" s="49">
        <f>ROUND((2866*$T$1),0)*1.05</f>
        <v>3009.3</v>
      </c>
      <c r="L914" s="49">
        <f>ROUND((2904*$T$1),0)*1.05</f>
        <v>3049.2000000000003</v>
      </c>
      <c r="M914" s="49">
        <f>ROUND((2946*$T$1),0)*1.05</f>
        <v>3093.3</v>
      </c>
      <c r="N914" s="49">
        <f>ROUND((2990*$T$1),0)*1.05</f>
        <v>3139.5</v>
      </c>
      <c r="O914" s="49">
        <f>ROUND((3016*$T$1),0)*1.05</f>
        <v>3166.8</v>
      </c>
      <c r="P914" s="49">
        <f>ROUND((3094*$T$1),0)*1.05</f>
        <v>3248.7000000000003</v>
      </c>
      <c r="Q914" s="49">
        <f>ROUND((3223*$T$1),0)*1.05</f>
        <v>3384.15</v>
      </c>
    </row>
    <row r="915" spans="1:17" ht="15" customHeight="1" x14ac:dyDescent="0.3">
      <c r="A915" s="42"/>
      <c r="B915" s="44" t="s">
        <v>536</v>
      </c>
      <c r="C915" s="44" t="s">
        <v>45</v>
      </c>
      <c r="D915" s="47">
        <v>1.3</v>
      </c>
      <c r="E915" s="46" t="s">
        <v>47</v>
      </c>
      <c r="F915" s="47">
        <v>1</v>
      </c>
      <c r="G915" s="46" t="s">
        <v>48</v>
      </c>
      <c r="H915" s="47">
        <v>0.71</v>
      </c>
      <c r="I915" s="48">
        <v>6.1</v>
      </c>
      <c r="J915" s="49">
        <f>ROUND((2646*$T$1),0)*1.05</f>
        <v>2778.3</v>
      </c>
      <c r="K915" s="49">
        <f>ROUND((2939*$T$1),0)*1.05</f>
        <v>3085.9500000000003</v>
      </c>
      <c r="L915" s="49">
        <f>ROUND((2979*$T$1),0)*1.05</f>
        <v>3127.9500000000003</v>
      </c>
      <c r="M915" s="49">
        <f>ROUND((3022*$T$1),0)*1.05</f>
        <v>3173.1</v>
      </c>
      <c r="N915" s="49">
        <f>ROUND((3067*$T$1),0)*1.05</f>
        <v>3220.35</v>
      </c>
      <c r="O915" s="49">
        <f>ROUND((3094*$T$1),0)*1.05</f>
        <v>3248.7000000000003</v>
      </c>
      <c r="P915" s="49">
        <f>ROUND((3173*$T$1),0)*1.05</f>
        <v>3331.65</v>
      </c>
      <c r="Q915" s="49">
        <f>ROUND((3006*$T$1),0)*1.05</f>
        <v>3156.3</v>
      </c>
    </row>
    <row r="916" spans="1:17" ht="15" customHeight="1" x14ac:dyDescent="0.3">
      <c r="A916" s="42"/>
      <c r="B916" s="44" t="s">
        <v>537</v>
      </c>
      <c r="C916" s="44" t="s">
        <v>45</v>
      </c>
      <c r="D916" s="47">
        <v>1.4</v>
      </c>
      <c r="E916" s="46" t="s">
        <v>47</v>
      </c>
      <c r="F916" s="47">
        <v>1</v>
      </c>
      <c r="G916" s="46" t="s">
        <v>48</v>
      </c>
      <c r="H916" s="47">
        <v>0.71</v>
      </c>
      <c r="I916" s="48">
        <v>6.2</v>
      </c>
      <c r="J916" s="49">
        <f>ROUND((2714*$T$1),0)*1.05</f>
        <v>2849.7000000000003</v>
      </c>
      <c r="K916" s="49">
        <f>ROUND((3015*$T$1),0)*1.05</f>
        <v>3165.75</v>
      </c>
      <c r="L916" s="49">
        <f>ROUND((3056*$T$1),0)*1.05</f>
        <v>3208.8</v>
      </c>
      <c r="M916" s="49">
        <f>ROUND((3100*$T$1),0)*1.05</f>
        <v>3255</v>
      </c>
      <c r="N916" s="49">
        <f>ROUND((3145*$T$1),0)*1.05</f>
        <v>3302.25</v>
      </c>
      <c r="O916" s="49">
        <f>ROUND((3173*$T$1),0)*1.05</f>
        <v>3331.65</v>
      </c>
      <c r="P916" s="49">
        <f>ROUND((3255*$T$1),0)*1.05</f>
        <v>3417.75</v>
      </c>
      <c r="Q916" s="49">
        <f>ROUND((3390*$T$1),0)*1.05</f>
        <v>3559.5</v>
      </c>
    </row>
    <row r="917" spans="1:17" ht="15" customHeight="1" x14ac:dyDescent="0.3">
      <c r="A917" s="42"/>
      <c r="B917" s="44" t="s">
        <v>538</v>
      </c>
      <c r="C917" s="44" t="s">
        <v>45</v>
      </c>
      <c r="D917" s="47">
        <v>1.5</v>
      </c>
      <c r="E917" s="46" t="s">
        <v>47</v>
      </c>
      <c r="F917" s="47">
        <v>1</v>
      </c>
      <c r="G917" s="46" t="s">
        <v>48</v>
      </c>
      <c r="H917" s="47">
        <v>0.71</v>
      </c>
      <c r="I917" s="48">
        <v>6.3</v>
      </c>
      <c r="J917" s="49">
        <f>ROUND((2783*$T$1),0)*1.05</f>
        <v>2922.15</v>
      </c>
      <c r="K917" s="49">
        <f>ROUND((3536*$T$1),0)*1.05</f>
        <v>3712.8</v>
      </c>
      <c r="L917" s="49">
        <f>ROUND((3134*$T$1),0)*1.05</f>
        <v>3290.7000000000003</v>
      </c>
      <c r="M917" s="49">
        <f>ROUND((3180*$T$1),0)*1.05</f>
        <v>3339</v>
      </c>
      <c r="N917" s="49">
        <f>ROUND((3227*$T$1),0)*1.05</f>
        <v>3388.3500000000004</v>
      </c>
      <c r="O917" s="49">
        <f>ROUND((3255*$T$1),0)*1.05</f>
        <v>3417.75</v>
      </c>
      <c r="P917" s="49">
        <f>ROUND((3337*$T$1),0)*1.05</f>
        <v>3503.8500000000004</v>
      </c>
      <c r="Q917" s="49">
        <f>ROUND((3478*$T$1),0)*1.05</f>
        <v>3651.9</v>
      </c>
    </row>
    <row r="918" spans="1:17" ht="15" customHeight="1" x14ac:dyDescent="0.3">
      <c r="A918" s="42"/>
      <c r="B918" s="44"/>
      <c r="C918" s="44"/>
      <c r="D918" s="47"/>
      <c r="E918" s="46"/>
      <c r="F918" s="47"/>
      <c r="G918" s="46"/>
      <c r="H918" s="47"/>
      <c r="I918" s="48"/>
      <c r="J918" s="49"/>
      <c r="K918" s="49"/>
      <c r="L918" s="49"/>
      <c r="M918" s="49"/>
      <c r="N918" s="49"/>
      <c r="O918" s="49"/>
      <c r="P918" s="49"/>
      <c r="Q918" s="49"/>
    </row>
    <row r="919" spans="1:17" ht="15" customHeight="1" x14ac:dyDescent="0.3">
      <c r="A919" s="42"/>
      <c r="B919" s="44" t="s">
        <v>98</v>
      </c>
      <c r="C919" s="44" t="s">
        <v>45</v>
      </c>
      <c r="D919" s="47">
        <v>1</v>
      </c>
      <c r="E919" s="46" t="s">
        <v>47</v>
      </c>
      <c r="F919" s="47">
        <v>1</v>
      </c>
      <c r="G919" s="46" t="s">
        <v>48</v>
      </c>
      <c r="H919" s="47"/>
      <c r="I919" s="48">
        <v>5.7</v>
      </c>
      <c r="J919" s="49">
        <f>ROUND((2394*$T$1),0)*1.05</f>
        <v>2513.7000000000003</v>
      </c>
      <c r="K919" s="49">
        <f>ROUND((2660*$T$1),0)*1.05</f>
        <v>2793</v>
      </c>
      <c r="L919" s="49">
        <f>ROUND((2696*$T$1),0)*1.05</f>
        <v>2830.8</v>
      </c>
      <c r="M919" s="49">
        <f>ROUND((2735*$T$1),0)*1.05</f>
        <v>2871.75</v>
      </c>
      <c r="N919" s="49">
        <f>ROUND((2775*$T$1),0)*1.05</f>
        <v>2913.75</v>
      </c>
      <c r="O919" s="49">
        <f>ROUND((2799*$T$1),0)*1.05</f>
        <v>2938.9500000000003</v>
      </c>
      <c r="P919" s="49">
        <f>ROUND((2870*$T$1),0)*1.05</f>
        <v>3013.5</v>
      </c>
      <c r="Q919" s="49">
        <f>ROUND((2991*$T$1),0)*1.05</f>
        <v>3140.55</v>
      </c>
    </row>
    <row r="920" spans="1:17" ht="15" customHeight="1" x14ac:dyDescent="0.3">
      <c r="A920" s="42"/>
      <c r="B920" s="44" t="s">
        <v>35</v>
      </c>
      <c r="C920" s="44" t="s">
        <v>45</v>
      </c>
      <c r="D920" s="47">
        <v>1</v>
      </c>
      <c r="E920" s="46" t="s">
        <v>47</v>
      </c>
      <c r="F920" s="47">
        <v>1</v>
      </c>
      <c r="G920" s="46" t="s">
        <v>48</v>
      </c>
      <c r="H920" s="47">
        <v>0.71</v>
      </c>
      <c r="I920" s="48">
        <v>5.7</v>
      </c>
      <c r="J920" s="49">
        <f>ROUND((2502*$T$1),0)*1.05</f>
        <v>2627.1</v>
      </c>
      <c r="K920" s="49">
        <f>ROUND((2781*$T$1),0)*1.05</f>
        <v>2920.05</v>
      </c>
      <c r="L920" s="49">
        <f>ROUND((2818*$T$1),0)*1.05</f>
        <v>2958.9</v>
      </c>
      <c r="M920" s="49">
        <f>ROUND((2846*$T$1),0)*1.05</f>
        <v>2988.3</v>
      </c>
      <c r="N920" s="49">
        <f>ROUND((2900*$T$1),0)*1.05</f>
        <v>3045</v>
      </c>
      <c r="O920" s="49">
        <f>ROUND((2926*$T$1),0)*1.05</f>
        <v>3072.3</v>
      </c>
      <c r="P920" s="49">
        <f>ROUND((3000*$T$1),0)*1.05</f>
        <v>3150</v>
      </c>
      <c r="Q920" s="49">
        <f>ROUND((3127*$T$1),0)*1.05</f>
        <v>3283.3500000000004</v>
      </c>
    </row>
    <row r="921" spans="1:17" ht="15" customHeight="1" x14ac:dyDescent="0.3">
      <c r="A921" s="42"/>
      <c r="B921" s="44" t="s">
        <v>539</v>
      </c>
      <c r="C921" s="44" t="s">
        <v>45</v>
      </c>
      <c r="D921" s="47">
        <v>1.2</v>
      </c>
      <c r="E921" s="46" t="s">
        <v>47</v>
      </c>
      <c r="F921" s="47">
        <v>1.8</v>
      </c>
      <c r="G921" s="46" t="s">
        <v>48</v>
      </c>
      <c r="H921" s="47">
        <v>0.71</v>
      </c>
      <c r="I921" s="48">
        <v>7.7</v>
      </c>
      <c r="J921" s="49">
        <f>ROUND((3394*$T$1),0)*1.05</f>
        <v>3563.7000000000003</v>
      </c>
      <c r="K921" s="49">
        <f>ROUND((3771*$T$1),0)*1.05</f>
        <v>3959.55</v>
      </c>
      <c r="L921" s="49">
        <f>ROUND((3821*$T$1),0)*1.05</f>
        <v>4012.05</v>
      </c>
      <c r="M921" s="49">
        <f>ROUND((3978*$T$1),0)*1.05</f>
        <v>4176.9000000000005</v>
      </c>
      <c r="N921" s="49">
        <f>ROUND((3934*$T$1),0)*1.05</f>
        <v>4130.7</v>
      </c>
      <c r="O921" s="49">
        <f>ROUND((3969*$T$1),0)*1.05</f>
        <v>4167.45</v>
      </c>
      <c r="P921" s="49">
        <f>ROUND((4070*$T$1),0)*1.05</f>
        <v>4273.5</v>
      </c>
      <c r="Q921" s="49">
        <f>ROUND((4241*$T$1),0)*1.05</f>
        <v>4453.05</v>
      </c>
    </row>
    <row r="922" spans="1:17" ht="15" customHeight="1" x14ac:dyDescent="0.3">
      <c r="A922" s="42"/>
      <c r="B922" s="142" t="s">
        <v>540</v>
      </c>
      <c r="C922" s="44" t="s">
        <v>45</v>
      </c>
      <c r="D922" s="47">
        <v>1.2</v>
      </c>
      <c r="E922" s="46" t="s">
        <v>47</v>
      </c>
      <c r="F922" s="47">
        <v>1</v>
      </c>
      <c r="G922" s="46" t="s">
        <v>48</v>
      </c>
      <c r="H922" s="47">
        <v>0.71</v>
      </c>
      <c r="I922" s="48">
        <v>5</v>
      </c>
      <c r="J922" s="49">
        <f>ROUND((2704*$T$1),0)*1.05</f>
        <v>2839.2000000000003</v>
      </c>
      <c r="K922" s="49">
        <f>ROUND((3004*$T$1),0)*1.05</f>
        <v>3154.2000000000003</v>
      </c>
      <c r="L922" s="49">
        <f>ROUND((3037*$T$1),0)*1.05</f>
        <v>3188.85</v>
      </c>
      <c r="M922" s="49">
        <f>ROUND((3075*$T$1),0)*1.05</f>
        <v>3228.75</v>
      </c>
      <c r="N922" s="49">
        <f>ROUND((3113*$T$1),0)*1.05</f>
        <v>3268.65</v>
      </c>
      <c r="O922" s="49">
        <f>ROUND((3136*$T$1),0)*1.05</f>
        <v>3292.8</v>
      </c>
      <c r="P922" s="49">
        <f>ROUND((3205*$T$1),0)*1.05</f>
        <v>3365.25</v>
      </c>
      <c r="Q922" s="49">
        <f>ROUND((3320*$T$1),0)*1.05</f>
        <v>3486</v>
      </c>
    </row>
    <row r="923" spans="1:17" ht="15" customHeight="1" x14ac:dyDescent="0.3">
      <c r="A923" s="42"/>
      <c r="B923" s="44"/>
      <c r="C923" s="44"/>
      <c r="D923" s="47"/>
      <c r="E923" s="46"/>
      <c r="F923" s="47"/>
      <c r="G923" s="46"/>
      <c r="H923" s="47"/>
      <c r="I923" s="57"/>
      <c r="J923" s="58"/>
      <c r="K923" s="58"/>
      <c r="L923" s="58"/>
      <c r="M923" s="58"/>
      <c r="N923" s="58"/>
      <c r="O923" s="58"/>
      <c r="P923" s="58"/>
      <c r="Q923" s="58"/>
    </row>
    <row r="924" spans="1:17" ht="15" customHeight="1" x14ac:dyDescent="0.3">
      <c r="A924" s="42"/>
      <c r="B924" s="126" t="s">
        <v>541</v>
      </c>
      <c r="C924" s="44"/>
      <c r="D924" s="47"/>
      <c r="E924" s="46"/>
      <c r="F924" s="47"/>
      <c r="G924" s="46"/>
      <c r="H924" s="47"/>
      <c r="I924" s="57"/>
      <c r="J924" s="58"/>
      <c r="K924" s="58"/>
      <c r="L924" s="58"/>
      <c r="M924" s="87" t="s">
        <v>134</v>
      </c>
      <c r="N924" s="58"/>
      <c r="O924" s="58"/>
      <c r="P924" s="58"/>
      <c r="Q924" s="58"/>
    </row>
    <row r="925" spans="1:17" ht="15" customHeight="1" x14ac:dyDescent="0.3">
      <c r="A925" s="42"/>
      <c r="B925" s="59"/>
      <c r="C925" s="60"/>
      <c r="D925" s="59"/>
      <c r="E925" s="59"/>
      <c r="F925" s="59"/>
      <c r="G925" s="59"/>
      <c r="H925" s="59"/>
      <c r="I925" s="61"/>
      <c r="J925" s="62"/>
      <c r="K925" s="62"/>
      <c r="L925" s="62"/>
      <c r="M925" s="62"/>
      <c r="N925" s="62"/>
      <c r="O925" s="62"/>
      <c r="P925" s="62"/>
      <c r="Q925" s="62"/>
    </row>
    <row r="926" spans="1:17" ht="15" customHeight="1" x14ac:dyDescent="0.3">
      <c r="A926" s="42"/>
      <c r="B926" s="63"/>
      <c r="C926" s="63"/>
      <c r="D926" s="65"/>
      <c r="E926" s="49"/>
      <c r="F926" s="66"/>
      <c r="G926" s="48"/>
      <c r="H926" s="66"/>
      <c r="I926" s="48"/>
      <c r="J926" s="49"/>
      <c r="K926" s="49"/>
      <c r="L926" s="49"/>
      <c r="M926" s="49"/>
      <c r="N926" s="49"/>
      <c r="O926" s="49"/>
      <c r="P926" s="49"/>
      <c r="Q926" s="49"/>
    </row>
    <row r="927" spans="1:17" ht="31.5" x14ac:dyDescent="0.3">
      <c r="A927" s="127" t="s">
        <v>542</v>
      </c>
      <c r="B927" s="143"/>
      <c r="C927" s="144"/>
      <c r="D927" s="145"/>
      <c r="E927" s="146"/>
      <c r="F927" s="145"/>
      <c r="G927" s="146"/>
      <c r="H927" s="145"/>
      <c r="I927" s="136"/>
      <c r="J927" s="41" t="s">
        <v>43</v>
      </c>
      <c r="K927" s="41">
        <v>1000</v>
      </c>
      <c r="L927" s="41">
        <v>2000</v>
      </c>
      <c r="M927" s="41">
        <v>3000</v>
      </c>
      <c r="N927" s="41">
        <v>4000</v>
      </c>
      <c r="O927" s="41">
        <v>5000</v>
      </c>
      <c r="P927" s="41">
        <v>6000</v>
      </c>
      <c r="Q927" s="41">
        <v>7000</v>
      </c>
    </row>
    <row r="928" spans="1:17" ht="15" customHeight="1" x14ac:dyDescent="0.3">
      <c r="A928" s="42"/>
      <c r="B928" s="147" t="s">
        <v>543</v>
      </c>
      <c r="C928" s="44" t="s">
        <v>45</v>
      </c>
      <c r="D928" s="47">
        <v>3.45</v>
      </c>
      <c r="E928" s="46" t="s">
        <v>47</v>
      </c>
      <c r="F928" s="47">
        <v>0.96</v>
      </c>
      <c r="G928" s="46" t="s">
        <v>48</v>
      </c>
      <c r="H928" s="47">
        <v>0.76</v>
      </c>
      <c r="I928" s="57">
        <v>12.3</v>
      </c>
      <c r="J928" s="58">
        <f>ROUND((6774*$T$1),0)*1.05</f>
        <v>7112.7000000000007</v>
      </c>
      <c r="K928" s="58">
        <f>ROUND((7526*$T$1),0)*1.05</f>
        <v>7902.3</v>
      </c>
      <c r="L928" s="58">
        <f>ROUND((7608*$T$1),0)*1.05</f>
        <v>7988.4000000000005</v>
      </c>
      <c r="M928" s="58">
        <f>ROUND((7703*$T$1),0)*1.05</f>
        <v>8088.1500000000005</v>
      </c>
      <c r="N928" s="58">
        <f>ROUND((7798*$T$1),0)*1.05</f>
        <v>8187.9000000000005</v>
      </c>
      <c r="O928" s="58">
        <f>ROUND((7855*$T$1),0)*1.05</f>
        <v>8247.75</v>
      </c>
      <c r="P928" s="58">
        <f>ROUND((8026*$T$1),0)*1.05</f>
        <v>8427.3000000000011</v>
      </c>
      <c r="Q928" s="58">
        <f>ROUND((8310*$T$1),0)*1.05</f>
        <v>8725.5</v>
      </c>
    </row>
    <row r="929" spans="1:17" ht="15" customHeight="1" x14ac:dyDescent="0.3">
      <c r="A929" s="42"/>
      <c r="B929" s="147" t="s">
        <v>544</v>
      </c>
      <c r="C929" s="44" t="s">
        <v>45</v>
      </c>
      <c r="D929" s="47">
        <v>2.4500000000000002</v>
      </c>
      <c r="E929" s="46" t="s">
        <v>47</v>
      </c>
      <c r="F929" s="47">
        <v>0.96</v>
      </c>
      <c r="G929" s="46" t="s">
        <v>48</v>
      </c>
      <c r="H929" s="47">
        <v>0.76</v>
      </c>
      <c r="I929" s="57">
        <v>10.1</v>
      </c>
      <c r="J929" s="58">
        <f>ROUND((5548*$T$1),0)*1.05</f>
        <v>5825.4000000000005</v>
      </c>
      <c r="K929" s="58">
        <f>ROUND((6164*$T$1),0)*1.05</f>
        <v>6472.2000000000007</v>
      </c>
      <c r="L929" s="58">
        <f>ROUND((6231*$T$1),0)*1.05</f>
        <v>6542.55</v>
      </c>
      <c r="M929" s="58">
        <f>ROUND((6308*$T$1),0)*1.05</f>
        <v>6623.4000000000005</v>
      </c>
      <c r="N929" s="58">
        <f>ROUND((6387*$T$1),0)*1.05</f>
        <v>6706.35</v>
      </c>
      <c r="O929" s="58">
        <f>ROUND((6433*$T$1),0)*1.05</f>
        <v>6754.6500000000005</v>
      </c>
      <c r="P929" s="58">
        <f>ROUND((6573*$T$1),0)*1.05</f>
        <v>6901.6500000000005</v>
      </c>
      <c r="Q929" s="58">
        <f>ROUND((6806*$T$1),0)*1.05</f>
        <v>7146.3</v>
      </c>
    </row>
    <row r="930" spans="1:17" ht="15" customHeight="1" x14ac:dyDescent="0.3">
      <c r="A930" s="42"/>
      <c r="B930" s="147" t="s">
        <v>545</v>
      </c>
      <c r="C930" s="44" t="s">
        <v>45</v>
      </c>
      <c r="D930" s="47">
        <v>2.85</v>
      </c>
      <c r="E930" s="46" t="s">
        <v>47</v>
      </c>
      <c r="F930" s="47">
        <v>0.96</v>
      </c>
      <c r="G930" s="46" t="s">
        <v>48</v>
      </c>
      <c r="H930" s="47">
        <v>0.76</v>
      </c>
      <c r="I930" s="57">
        <v>11</v>
      </c>
      <c r="J930" s="58">
        <f>ROUND((6096*$T$1),0)*1.05</f>
        <v>6400.8</v>
      </c>
      <c r="K930" s="58">
        <f>ROUND((6774*$T$1),0)*1.05</f>
        <v>7112.7000000000007</v>
      </c>
      <c r="L930" s="58">
        <f>ROUND((6847*$T$1),0)*1.05</f>
        <v>7189.35</v>
      </c>
      <c r="M930" s="58">
        <f>ROUND((6932*$T$1),0)*1.05</f>
        <v>7278.6</v>
      </c>
      <c r="N930" s="58">
        <f>ROUND((6103*$T$1),0)*1.05</f>
        <v>6408.1500000000005</v>
      </c>
      <c r="O930" s="58">
        <f>ROUND((7069*$T$1),0)*1.05</f>
        <v>7422.4500000000007</v>
      </c>
      <c r="P930" s="58">
        <f>ROUND((7223*$T$1),0)*1.05</f>
        <v>7584.1500000000005</v>
      </c>
      <c r="Q930" s="58">
        <f>ROUND((7478*$T$1),0)*1.05</f>
        <v>7851.9000000000005</v>
      </c>
    </row>
    <row r="931" spans="1:17" ht="15" customHeight="1" x14ac:dyDescent="0.3">
      <c r="A931" s="42"/>
      <c r="B931" s="147" t="s">
        <v>546</v>
      </c>
      <c r="C931" s="44" t="s">
        <v>45</v>
      </c>
      <c r="D931" s="47">
        <v>2.25</v>
      </c>
      <c r="E931" s="46" t="s">
        <v>47</v>
      </c>
      <c r="F931" s="47">
        <v>0.96</v>
      </c>
      <c r="G931" s="46" t="s">
        <v>48</v>
      </c>
      <c r="H931" s="47">
        <v>0.76</v>
      </c>
      <c r="I931" s="57">
        <v>9.6999999999999993</v>
      </c>
      <c r="J931" s="58">
        <f>ROUND((5328*$T$1),0)*1.05</f>
        <v>5594.4000000000005</v>
      </c>
      <c r="K931" s="58">
        <f>ROUND((5920*$T$1),0)*1.05</f>
        <v>6216</v>
      </c>
      <c r="L931" s="58">
        <f>ROUND((5985*$T$1),0)*1.05</f>
        <v>6284.25</v>
      </c>
      <c r="M931" s="58">
        <f>ROUND((6058*$T$1),0)*1.05</f>
        <v>6360.9000000000005</v>
      </c>
      <c r="N931" s="58">
        <f>ROUND((6134*$T$1),0)*1.05</f>
        <v>6440.7</v>
      </c>
      <c r="O931" s="58">
        <f>ROUND((6178*$T$1),0)*1.05</f>
        <v>6486.9000000000005</v>
      </c>
      <c r="P931" s="58">
        <f>ROUND((6314*$T$1),0)*1.05</f>
        <v>6629.7000000000007</v>
      </c>
      <c r="Q931" s="58">
        <f>ROUND((6537*$T$1),0)*1.05</f>
        <v>6863.85</v>
      </c>
    </row>
    <row r="932" spans="1:17" ht="15" customHeight="1" x14ac:dyDescent="0.3">
      <c r="A932" s="42"/>
      <c r="B932" s="147" t="s">
        <v>547</v>
      </c>
      <c r="C932" s="44" t="s">
        <v>45</v>
      </c>
      <c r="D932" s="47">
        <v>2.6</v>
      </c>
      <c r="E932" s="46" t="s">
        <v>47</v>
      </c>
      <c r="F932" s="47">
        <v>0.96</v>
      </c>
      <c r="G932" s="46" t="s">
        <v>48</v>
      </c>
      <c r="H932" s="47">
        <v>0.76</v>
      </c>
      <c r="I932" s="57">
        <v>10.5</v>
      </c>
      <c r="J932" s="58">
        <f>ROUND((5791*$T$1),0)*1.05</f>
        <v>6080.55</v>
      </c>
      <c r="K932" s="58">
        <f>ROUND((6435*$T$1),0)*1.05</f>
        <v>6756.75</v>
      </c>
      <c r="L932" s="58">
        <f>ROUND((6504*$T$1),0)*1.05</f>
        <v>6829.2000000000007</v>
      </c>
      <c r="M932" s="58">
        <f>ROUND((6586*$T$1),0)*1.05</f>
        <v>6915.3</v>
      </c>
      <c r="N932" s="58">
        <f>ROUND((6668*$T$1),0)*1.05</f>
        <v>7001.4000000000005</v>
      </c>
      <c r="O932" s="58">
        <f>ROUND((6716*$T$1),0)*1.05</f>
        <v>7051.8</v>
      </c>
      <c r="P932" s="58">
        <f>ROUND((6862*$T$1),0)*1.05</f>
        <v>7205.1</v>
      </c>
      <c r="Q932" s="58">
        <f>ROUND((7105*$T$1),0)*1.05</f>
        <v>7460.25</v>
      </c>
    </row>
    <row r="933" spans="1:17" ht="15" customHeight="1" x14ac:dyDescent="0.3">
      <c r="A933" s="42"/>
      <c r="B933" s="97"/>
      <c r="C933" s="44"/>
      <c r="D933" s="47"/>
      <c r="E933" s="46"/>
      <c r="F933" s="47"/>
      <c r="G933" s="46"/>
      <c r="H933" s="47"/>
      <c r="I933" s="48"/>
      <c r="J933" s="49"/>
      <c r="K933" s="49"/>
      <c r="L933" s="49"/>
      <c r="M933" s="49"/>
      <c r="N933" s="49"/>
      <c r="O933" s="49"/>
      <c r="P933" s="49"/>
      <c r="Q933" s="49"/>
    </row>
    <row r="934" spans="1:17" ht="15" customHeight="1" x14ac:dyDescent="0.3">
      <c r="A934" s="42"/>
      <c r="B934" s="44" t="s">
        <v>548</v>
      </c>
      <c r="C934" s="44" t="s">
        <v>45</v>
      </c>
      <c r="D934" s="47">
        <v>2.4500000000000002</v>
      </c>
      <c r="E934" s="46" t="s">
        <v>47</v>
      </c>
      <c r="F934" s="47">
        <v>0.96</v>
      </c>
      <c r="G934" s="46" t="s">
        <v>48</v>
      </c>
      <c r="H934" s="47">
        <v>0.76</v>
      </c>
      <c r="I934" s="48">
        <v>9.6</v>
      </c>
      <c r="J934" s="49">
        <f>ROUND((5714*$T$1),0)*1.05</f>
        <v>5999.7</v>
      </c>
      <c r="K934" s="49">
        <f>ROUND((6349*$T$1),0)*1.05</f>
        <v>6666.4500000000007</v>
      </c>
      <c r="L934" s="49">
        <f>ROUND((6418*$T$1),0)*1.05</f>
        <v>6738.9000000000005</v>
      </c>
      <c r="M934" s="49">
        <f>ROUND((6498*$T$1),0)*1.05</f>
        <v>6822.9000000000005</v>
      </c>
      <c r="N934" s="49">
        <f>ROUND((6578*$T$1),0)*1.05</f>
        <v>6906.9000000000005</v>
      </c>
      <c r="O934" s="49">
        <f>ROUND((6626*$T$1),0)*1.05</f>
        <v>6957.3</v>
      </c>
      <c r="P934" s="49">
        <f>ROUND((6770*$T$1),0)*1.05</f>
        <v>7108.5</v>
      </c>
      <c r="Q934" s="49">
        <f>ROUND((7009*$T$1),0)*1.05</f>
        <v>7359.4500000000007</v>
      </c>
    </row>
    <row r="935" spans="1:17" ht="15" customHeight="1" x14ac:dyDescent="0.3">
      <c r="A935" s="42"/>
      <c r="B935" s="44" t="s">
        <v>549</v>
      </c>
      <c r="C935" s="44" t="s">
        <v>45</v>
      </c>
      <c r="D935" s="47">
        <v>2.85</v>
      </c>
      <c r="E935" s="46" t="s">
        <v>47</v>
      </c>
      <c r="F935" s="47">
        <v>0.96</v>
      </c>
      <c r="G935" s="46" t="s">
        <v>48</v>
      </c>
      <c r="H935" s="47">
        <v>0.76</v>
      </c>
      <c r="I935" s="48">
        <v>10.5</v>
      </c>
      <c r="J935" s="49">
        <f>ROUND((6279*$T$1),0)*1.05</f>
        <v>6592.9500000000007</v>
      </c>
      <c r="K935" s="49">
        <f>ROUND((6977*$T$1),0)*1.05</f>
        <v>7325.85</v>
      </c>
      <c r="L935" s="49">
        <f>ROUND((7053*$T$1),0)*1.05</f>
        <v>7405.6500000000005</v>
      </c>
      <c r="M935" s="49">
        <f>ROUND((7140*$T$1),0)*1.05</f>
        <v>7497</v>
      </c>
      <c r="N935" s="49">
        <f>ROUND((7229*$T$1),0)*1.05</f>
        <v>7590.4500000000007</v>
      </c>
      <c r="O935" s="49">
        <f>ROUND((7281*$T$1),0)*1.05</f>
        <v>7645.05</v>
      </c>
      <c r="P935" s="49">
        <f>ROUND((7439*$T$1),0)*1.05</f>
        <v>7810.9500000000007</v>
      </c>
      <c r="Q935" s="49">
        <f>ROUND((7703*$T$1),0)*1.05</f>
        <v>8088.1500000000005</v>
      </c>
    </row>
    <row r="936" spans="1:17" ht="15" customHeight="1" x14ac:dyDescent="0.3">
      <c r="A936" s="42"/>
      <c r="B936" s="44" t="s">
        <v>550</v>
      </c>
      <c r="C936" s="44" t="s">
        <v>45</v>
      </c>
      <c r="D936" s="47">
        <v>2.25</v>
      </c>
      <c r="E936" s="46" t="s">
        <v>47</v>
      </c>
      <c r="F936" s="47">
        <v>0.96</v>
      </c>
      <c r="G936" s="46" t="s">
        <v>48</v>
      </c>
      <c r="H936" s="47">
        <v>0.76</v>
      </c>
      <c r="I936" s="48">
        <v>9.3000000000000007</v>
      </c>
      <c r="J936" s="49">
        <f>ROUND((5488*$T$1),0)*1.05</f>
        <v>5762.4000000000005</v>
      </c>
      <c r="K936" s="49">
        <f>ROUND((6097*$T$1),0)*1.05</f>
        <v>6401.85</v>
      </c>
      <c r="L936" s="49">
        <f>ROUND((6164*$T$1),0)*1.05</f>
        <v>6472.2000000000007</v>
      </c>
      <c r="M936" s="49">
        <f>ROUND((6241*$T$1),0)*1.05</f>
        <v>6553.05</v>
      </c>
      <c r="N936" s="49">
        <f>ROUND((6318*$T$1),0)*1.05</f>
        <v>6633.9000000000005</v>
      </c>
      <c r="O936" s="49">
        <f>ROUND((6364*$T$1),0)*1.05</f>
        <v>6682.2000000000007</v>
      </c>
      <c r="P936" s="49">
        <f>ROUND((6502*$T$1),0)*1.05</f>
        <v>6827.1</v>
      </c>
      <c r="Q936" s="49">
        <f>ROUND((6732*$T$1),0)*1.05</f>
        <v>7068.6</v>
      </c>
    </row>
    <row r="937" spans="1:17" ht="15" customHeight="1" x14ac:dyDescent="0.3">
      <c r="A937" s="42"/>
      <c r="B937" s="44" t="s">
        <v>549</v>
      </c>
      <c r="C937" s="44" t="s">
        <v>45</v>
      </c>
      <c r="D937" s="47">
        <v>2.6</v>
      </c>
      <c r="E937" s="46" t="s">
        <v>47</v>
      </c>
      <c r="F937" s="47">
        <v>0.96</v>
      </c>
      <c r="G937" s="46" t="s">
        <v>48</v>
      </c>
      <c r="H937" s="47">
        <v>0.76</v>
      </c>
      <c r="I937" s="48">
        <v>10</v>
      </c>
      <c r="J937" s="49">
        <f>ROUND((5965*$T$1),0)*1.05</f>
        <v>6263.25</v>
      </c>
      <c r="K937" s="49">
        <f>ROUND((6627*$T$1),0)*1.05</f>
        <v>6958.35</v>
      </c>
      <c r="L937" s="49">
        <f>ROUND((6700*$T$1),0)*1.05</f>
        <v>7035</v>
      </c>
      <c r="M937" s="49">
        <f>ROUND((6783*$T$1),0)*1.05</f>
        <v>7122.1500000000005</v>
      </c>
      <c r="N937" s="49">
        <f>ROUND((6868*$T$1),0)*1.05</f>
        <v>7211.4000000000005</v>
      </c>
      <c r="O937" s="49">
        <f>ROUND((6917*$T$1),0)*1.05</f>
        <v>7262.85</v>
      </c>
      <c r="P937" s="49">
        <f>ROUND((7068*$T$1),0)*1.05</f>
        <v>7421.4000000000005</v>
      </c>
      <c r="Q937" s="49">
        <f>ROUND((7317*$T$1),0)*1.05</f>
        <v>7682.85</v>
      </c>
    </row>
    <row r="938" spans="1:17" ht="15" customHeight="1" x14ac:dyDescent="0.3">
      <c r="A938" s="42"/>
      <c r="B938" s="44" t="s">
        <v>540</v>
      </c>
      <c r="C938" s="44" t="s">
        <v>45</v>
      </c>
      <c r="D938" s="47">
        <v>1.4</v>
      </c>
      <c r="E938" s="46" t="s">
        <v>47</v>
      </c>
      <c r="F938" s="47">
        <v>0.96</v>
      </c>
      <c r="G938" s="46" t="s">
        <v>48</v>
      </c>
      <c r="H938" s="47">
        <v>0.76</v>
      </c>
      <c r="I938" s="48">
        <v>7</v>
      </c>
      <c r="J938" s="49">
        <f>ROUND((3019*$T$1),0)*1.05</f>
        <v>3169.9500000000003</v>
      </c>
      <c r="K938" s="49">
        <f>ROUND((3387*$T$1),0)*1.05</f>
        <v>3556.3500000000004</v>
      </c>
      <c r="L938" s="49">
        <f>ROUND((3424*$T$1),0)*1.05</f>
        <v>3595.2000000000003</v>
      </c>
      <c r="M938" s="49">
        <f>ROUND((3466*$T$1),0)*1.05</f>
        <v>3639.3</v>
      </c>
      <c r="N938" s="49">
        <f>ROUND((3510*$T$1),0)*1.05</f>
        <v>3685.5</v>
      </c>
      <c r="O938" s="49">
        <f>ROUND((3535*$T$1),0)*1.05</f>
        <v>3711.75</v>
      </c>
      <c r="P938" s="49">
        <f>ROUND((3612*$T$1),0)*1.05</f>
        <v>3792.6000000000004</v>
      </c>
      <c r="Q938" s="49">
        <f>ROUND((4315*$T$1),0)*1.05</f>
        <v>4530.75</v>
      </c>
    </row>
    <row r="939" spans="1:17" ht="15" customHeight="1" x14ac:dyDescent="0.3">
      <c r="A939" s="42"/>
      <c r="B939" s="63"/>
      <c r="C939" s="63"/>
      <c r="D939" s="63"/>
      <c r="E939" s="63"/>
      <c r="F939" s="63"/>
      <c r="G939" s="63"/>
      <c r="H939" s="63"/>
      <c r="I939" s="48"/>
      <c r="J939" s="49"/>
      <c r="K939" s="49"/>
      <c r="L939" s="49"/>
      <c r="M939" s="87" t="s">
        <v>134</v>
      </c>
      <c r="N939" s="49"/>
      <c r="O939" s="49"/>
      <c r="P939" s="49"/>
      <c r="Q939" s="49"/>
    </row>
    <row r="940" spans="1:17" ht="15" customHeight="1" x14ac:dyDescent="0.3">
      <c r="A940" s="86"/>
      <c r="B940" s="59"/>
      <c r="C940" s="59"/>
      <c r="D940" s="59"/>
      <c r="E940" s="59"/>
      <c r="F940" s="59"/>
      <c r="G940" s="59"/>
      <c r="H940" s="59"/>
      <c r="I940" s="61"/>
      <c r="J940" s="62"/>
      <c r="K940" s="62"/>
      <c r="L940" s="62"/>
      <c r="M940" s="62"/>
      <c r="N940" s="62"/>
      <c r="O940" s="62"/>
      <c r="P940" s="62"/>
      <c r="Q940" s="62"/>
    </row>
    <row r="941" spans="1:17" ht="15" customHeight="1" x14ac:dyDescent="0.3">
      <c r="A941" s="63"/>
      <c r="B941" s="63"/>
      <c r="C941" s="63"/>
      <c r="D941" s="63"/>
      <c r="E941" s="63"/>
      <c r="F941" s="63"/>
      <c r="G941" s="63"/>
      <c r="H941" s="63"/>
      <c r="I941" s="48"/>
      <c r="J941" s="49"/>
      <c r="K941" s="49"/>
      <c r="L941" s="49"/>
      <c r="M941" s="49"/>
      <c r="N941" s="49"/>
      <c r="O941" s="49"/>
      <c r="P941" s="49"/>
      <c r="Q941" s="49"/>
    </row>
    <row r="942" spans="1:17" ht="29.1" customHeight="1" x14ac:dyDescent="0.25">
      <c r="A942" s="127" t="s">
        <v>551</v>
      </c>
      <c r="B942" s="148"/>
      <c r="C942" s="187" t="s">
        <v>41</v>
      </c>
      <c r="D942" s="187"/>
      <c r="E942" s="187"/>
      <c r="F942" s="187"/>
      <c r="G942" s="187"/>
      <c r="H942" s="187"/>
      <c r="I942" s="149" t="s">
        <v>42</v>
      </c>
      <c r="J942" s="41" t="s">
        <v>43</v>
      </c>
      <c r="K942" s="41">
        <v>1000</v>
      </c>
      <c r="L942" s="41">
        <v>2000</v>
      </c>
      <c r="M942" s="41">
        <v>3000</v>
      </c>
      <c r="N942" s="41">
        <v>4000</v>
      </c>
      <c r="O942" s="41">
        <v>5000</v>
      </c>
      <c r="P942" s="41">
        <v>6000</v>
      </c>
      <c r="Q942" s="41">
        <v>7000</v>
      </c>
    </row>
    <row r="943" spans="1:17" ht="15" customHeight="1" x14ac:dyDescent="0.3">
      <c r="A943" s="42"/>
      <c r="B943" s="43" t="s">
        <v>552</v>
      </c>
      <c r="C943" s="44" t="s">
        <v>45</v>
      </c>
      <c r="D943" s="47" t="s">
        <v>60</v>
      </c>
      <c r="E943" s="46" t="s">
        <v>47</v>
      </c>
      <c r="F943" s="47">
        <v>1.2</v>
      </c>
      <c r="G943" s="46" t="s">
        <v>48</v>
      </c>
      <c r="H943" s="47">
        <v>0.95</v>
      </c>
      <c r="I943" s="48">
        <v>11.2</v>
      </c>
      <c r="J943" s="49">
        <f>ROUND((2903*$T$1),0)*1.05</f>
        <v>3048.15</v>
      </c>
      <c r="K943" s="49">
        <f>ROUND((3226*$T$1),0)*1.05</f>
        <v>3387.3</v>
      </c>
      <c r="L943" s="49">
        <f>ROUND((3298*$T$1),0)*1.05</f>
        <v>3462.9</v>
      </c>
      <c r="M943" s="49">
        <f>ROUND((3381*$T$1),0)*1.05</f>
        <v>3550.05</v>
      </c>
      <c r="N943" s="49">
        <f>ROUND((3464*$T$1),0)*1.05</f>
        <v>3637.2000000000003</v>
      </c>
      <c r="O943" s="49">
        <f>ROUND((3513*$T$1),0)*1.05</f>
        <v>3688.65</v>
      </c>
      <c r="P943" s="49">
        <f>ROUND((3663*$T$1),0)*1.05</f>
        <v>3846.15</v>
      </c>
      <c r="Q943" s="49">
        <f>ROUND((3912*$T$1),0)*1.05</f>
        <v>4107.6000000000004</v>
      </c>
    </row>
    <row r="944" spans="1:17" ht="15" customHeight="1" x14ac:dyDescent="0.3">
      <c r="A944" s="42"/>
      <c r="B944" s="43" t="s">
        <v>553</v>
      </c>
      <c r="C944" s="44" t="s">
        <v>45</v>
      </c>
      <c r="D944" s="47" t="s">
        <v>58</v>
      </c>
      <c r="E944" s="46" t="s">
        <v>47</v>
      </c>
      <c r="F944" s="47">
        <v>1.2</v>
      </c>
      <c r="G944" s="46" t="s">
        <v>48</v>
      </c>
      <c r="H944" s="47">
        <v>0.95</v>
      </c>
      <c r="I944" s="48">
        <v>11.4</v>
      </c>
      <c r="J944" s="49">
        <f>ROUND((2962*$T$1),0)*1.05</f>
        <v>3110.1</v>
      </c>
      <c r="K944" s="49">
        <f>ROUND((3291*$T$1),0)*1.05</f>
        <v>3455.55</v>
      </c>
      <c r="L944" s="49">
        <f>ROUND((3365*$T$1),0)*1.05</f>
        <v>3533.25</v>
      </c>
      <c r="M944" s="49">
        <f>ROUND((3450*$T$1),0)*1.05</f>
        <v>3622.5</v>
      </c>
      <c r="N944" s="49">
        <f>ROUND((3534*$T$1),0)*1.05</f>
        <v>3710.7000000000003</v>
      </c>
      <c r="O944" s="49">
        <f>ROUND((3585*$T$1),0)*1.05</f>
        <v>3764.25</v>
      </c>
      <c r="P944" s="49">
        <f>ROUND((3738*$T$1),0)*1.05</f>
        <v>3924.9</v>
      </c>
      <c r="Q944" s="49">
        <f>ROUND((3992*$T$1),0)*1.05</f>
        <v>4191.6000000000004</v>
      </c>
    </row>
    <row r="945" spans="1:17" ht="15" customHeight="1" x14ac:dyDescent="0.3">
      <c r="A945" s="42"/>
      <c r="B945" s="43" t="s">
        <v>554</v>
      </c>
      <c r="C945" s="44" t="s">
        <v>45</v>
      </c>
      <c r="D945" s="47" t="s">
        <v>83</v>
      </c>
      <c r="E945" s="46" t="s">
        <v>47</v>
      </c>
      <c r="F945" s="47">
        <v>1.2</v>
      </c>
      <c r="G945" s="46" t="s">
        <v>48</v>
      </c>
      <c r="H945" s="47">
        <v>0.95</v>
      </c>
      <c r="I945" s="48">
        <v>11.6</v>
      </c>
      <c r="J945" s="49">
        <f>ROUND((3023*$T$1),0)*1.05</f>
        <v>3174.15</v>
      </c>
      <c r="K945" s="49">
        <f>ROUND((3359*$T$1),0)*1.05</f>
        <v>3526.9500000000003</v>
      </c>
      <c r="L945" s="49">
        <f>ROUND((3434*$T$1),0)*1.05</f>
        <v>3605.7000000000003</v>
      </c>
      <c r="M945" s="49">
        <f>ROUND((3520*$T$1),0)*1.05</f>
        <v>3696</v>
      </c>
      <c r="N945" s="49">
        <f>ROUND((3606*$T$1),0)*1.05</f>
        <v>3786.3</v>
      </c>
      <c r="O945" s="49">
        <f>ROUND((3658*$T$1),0)*1.05</f>
        <v>3840.9</v>
      </c>
      <c r="P945" s="49">
        <f>ROUND((3813*$T$1),0)*1.05</f>
        <v>4003.65</v>
      </c>
      <c r="Q945" s="49">
        <f>ROUND((4073*$T$1),0)*1.05</f>
        <v>4276.6500000000005</v>
      </c>
    </row>
    <row r="946" spans="1:17" ht="15" customHeight="1" x14ac:dyDescent="0.3">
      <c r="A946" s="42"/>
      <c r="B946" s="43" t="s">
        <v>555</v>
      </c>
      <c r="C946" s="44" t="s">
        <v>45</v>
      </c>
      <c r="D946" s="47">
        <v>1.4</v>
      </c>
      <c r="E946" s="46" t="s">
        <v>47</v>
      </c>
      <c r="F946" s="47">
        <v>1.2</v>
      </c>
      <c r="G946" s="46" t="s">
        <v>48</v>
      </c>
      <c r="H946" s="47">
        <v>0.95</v>
      </c>
      <c r="I946" s="48">
        <v>11.8</v>
      </c>
      <c r="J946" s="49">
        <f>ROUND((3084*$T$1),0)*1.05</f>
        <v>3238.2000000000003</v>
      </c>
      <c r="K946" s="49">
        <f>ROUND((3427*$T$1),0)*1.05</f>
        <v>3598.3500000000004</v>
      </c>
      <c r="L946" s="49">
        <f>ROUND((3504*$T$1),0)*1.05</f>
        <v>3679.2000000000003</v>
      </c>
      <c r="M946" s="49">
        <f>ROUND((3591*$T$1),0)*1.05</f>
        <v>3770.55</v>
      </c>
      <c r="N946" s="49">
        <f>ROUND((3680*$T$1),0)*1.05</f>
        <v>3864</v>
      </c>
      <c r="O946" s="49">
        <f>ROUND((3733*$T$1),0)*1.05</f>
        <v>3919.65</v>
      </c>
      <c r="P946" s="49">
        <f>ROUND((3892*$T$1),0)*1.05</f>
        <v>4086.6000000000004</v>
      </c>
      <c r="Q946" s="49">
        <f>ROUND((4156*$T$1),0)*1.05</f>
        <v>4363.8</v>
      </c>
    </row>
    <row r="947" spans="1:17" ht="15" customHeight="1" x14ac:dyDescent="0.3">
      <c r="A947" s="42"/>
      <c r="B947" s="43" t="s">
        <v>556</v>
      </c>
      <c r="C947" s="44" t="s">
        <v>45</v>
      </c>
      <c r="D947" s="47" t="s">
        <v>79</v>
      </c>
      <c r="E947" s="46" t="s">
        <v>47</v>
      </c>
      <c r="F947" s="47">
        <v>1.2</v>
      </c>
      <c r="G947" s="46" t="s">
        <v>48</v>
      </c>
      <c r="H947" s="47">
        <v>0.95</v>
      </c>
      <c r="I947" s="48">
        <v>12</v>
      </c>
      <c r="J947" s="49">
        <f>ROUND((3148*$T$1),0)*1.05</f>
        <v>3305.4</v>
      </c>
      <c r="K947" s="49">
        <f>ROUND((3497*$T$1),0)*1.05</f>
        <v>3671.8500000000004</v>
      </c>
      <c r="L947" s="49">
        <f>ROUND((3575*$T$1),0)*1.05</f>
        <v>3753.75</v>
      </c>
      <c r="M947" s="49">
        <f>ROUND((3665*$T$1),0)*1.05</f>
        <v>3848.25</v>
      </c>
      <c r="N947" s="49">
        <f>ROUND((3555*$T$1),0)*1.05</f>
        <v>3732.75</v>
      </c>
      <c r="O947" s="49">
        <f>ROUND((3809*$T$1),0)*1.05</f>
        <v>3999.4500000000003</v>
      </c>
      <c r="P947" s="49">
        <f>ROUND((3971*$T$1),0)*1.05</f>
        <v>4169.55</v>
      </c>
      <c r="Q947" s="49">
        <f>ROUND((4241*$T$1),0)*1.05</f>
        <v>4453.05</v>
      </c>
    </row>
    <row r="948" spans="1:17" ht="15" customHeight="1" x14ac:dyDescent="0.3">
      <c r="A948" s="42"/>
      <c r="B948" s="43"/>
      <c r="C948" s="44"/>
      <c r="D948" s="47"/>
      <c r="E948" s="46"/>
      <c r="F948" s="47"/>
      <c r="G948" s="46"/>
      <c r="H948" s="47"/>
      <c r="I948" s="48"/>
      <c r="J948" s="49"/>
      <c r="K948" s="49"/>
      <c r="L948" s="49"/>
      <c r="M948" s="49"/>
      <c r="N948" s="49"/>
      <c r="O948" s="49"/>
      <c r="P948" s="49"/>
      <c r="Q948" s="49"/>
    </row>
    <row r="949" spans="1:17" ht="15" customHeight="1" x14ac:dyDescent="0.3">
      <c r="A949" s="42"/>
      <c r="B949" s="43" t="s">
        <v>557</v>
      </c>
      <c r="C949" s="44" t="s">
        <v>45</v>
      </c>
      <c r="D949" s="47">
        <v>1</v>
      </c>
      <c r="E949" s="46" t="s">
        <v>47</v>
      </c>
      <c r="F949" s="47">
        <v>1.2</v>
      </c>
      <c r="G949" s="46" t="s">
        <v>48</v>
      </c>
      <c r="H949" s="47">
        <v>0.95</v>
      </c>
      <c r="I949" s="48">
        <v>11</v>
      </c>
      <c r="J949" s="49">
        <f>ROUND((2845*$T$1),0)*1.05</f>
        <v>2987.25</v>
      </c>
      <c r="K949" s="49">
        <f>ROUND((3161*$T$1),0)*1.05</f>
        <v>3319.05</v>
      </c>
      <c r="L949" s="49">
        <f>ROUND((3232*$T$1),0)*1.05</f>
        <v>3393.6000000000004</v>
      </c>
      <c r="M949" s="49">
        <f>ROUND((3313*$T$1),0)*1.05</f>
        <v>3478.65</v>
      </c>
      <c r="N949" s="49">
        <f>ROUND((3294*$T$1),0)*1.05</f>
        <v>3458.7000000000003</v>
      </c>
      <c r="O949" s="49">
        <f>ROUND((3443*$T$1),0)*1.05</f>
        <v>3615.15</v>
      </c>
      <c r="P949" s="49">
        <f>ROUND((3589*$T$1),0)*1.05</f>
        <v>3768.4500000000003</v>
      </c>
      <c r="Q949" s="49">
        <f>ROUND((3834*$T$1),0)*1.05</f>
        <v>4025.7000000000003</v>
      </c>
    </row>
    <row r="950" spans="1:17" ht="15" customHeight="1" x14ac:dyDescent="0.3">
      <c r="A950" s="42"/>
      <c r="B950" s="43" t="s">
        <v>558</v>
      </c>
      <c r="C950" s="44" t="s">
        <v>45</v>
      </c>
      <c r="D950" s="47">
        <v>1.1000000000000001</v>
      </c>
      <c r="E950" s="46" t="s">
        <v>47</v>
      </c>
      <c r="F950" s="47">
        <v>1.2</v>
      </c>
      <c r="G950" s="46" t="s">
        <v>48</v>
      </c>
      <c r="H950" s="47">
        <v>0.95</v>
      </c>
      <c r="I950" s="48">
        <v>11.2</v>
      </c>
      <c r="J950" s="49">
        <f>ROUND((2195*$T$1),0)*1.05</f>
        <v>2304.75</v>
      </c>
      <c r="K950" s="49">
        <f>ROUND((3226*$T$1),0)*1.05</f>
        <v>3387.3</v>
      </c>
      <c r="L950" s="49">
        <f>ROUND((3298*$T$1),0)*1.05</f>
        <v>3462.9</v>
      </c>
      <c r="M950" s="49">
        <f>ROUND((3381*$T$1),0)*1.05</f>
        <v>3550.05</v>
      </c>
      <c r="N950" s="49">
        <f>ROUND((3464*$T$1),0)*1.05</f>
        <v>3637.2000000000003</v>
      </c>
      <c r="O950" s="49">
        <f>ROUND((3513*$T$1),0)*1.05</f>
        <v>3688.65</v>
      </c>
      <c r="P950" s="49">
        <f>ROUND((3663*$T$1),0)*1.05</f>
        <v>3846.15</v>
      </c>
      <c r="Q950" s="49">
        <f>ROUND((3912*$T$1),0)*1.05</f>
        <v>4107.6000000000004</v>
      </c>
    </row>
    <row r="951" spans="1:17" ht="15" customHeight="1" x14ac:dyDescent="0.3">
      <c r="A951" s="42"/>
      <c r="B951" s="43" t="s">
        <v>559</v>
      </c>
      <c r="C951" s="44" t="s">
        <v>45</v>
      </c>
      <c r="D951" s="47">
        <v>1.2</v>
      </c>
      <c r="E951" s="46" t="s">
        <v>47</v>
      </c>
      <c r="F951" s="47">
        <v>1.2</v>
      </c>
      <c r="G951" s="46" t="s">
        <v>48</v>
      </c>
      <c r="H951" s="47">
        <v>0.95</v>
      </c>
      <c r="I951" s="48">
        <v>11.4</v>
      </c>
      <c r="J951" s="49">
        <f>ROUND((2962*$T$1),0)*1.05</f>
        <v>3110.1</v>
      </c>
      <c r="K951" s="49">
        <f>ROUND((3291*$T$1),0)*1.05</f>
        <v>3455.55</v>
      </c>
      <c r="L951" s="49">
        <f>ROUND((3465*$T$1),0)*1.05</f>
        <v>3638.25</v>
      </c>
      <c r="M951" s="49">
        <f>ROUND((3450*$T$1),0)*1.05</f>
        <v>3622.5</v>
      </c>
      <c r="N951" s="49">
        <f>ROUND((3534*$T$1),0)*1.05</f>
        <v>3710.7000000000003</v>
      </c>
      <c r="O951" s="49">
        <f>ROUND((3585*$T$1),0)*1.05</f>
        <v>3764.25</v>
      </c>
      <c r="P951" s="49">
        <f>ROUND((3738*$T$1),0)*1.05</f>
        <v>3924.9</v>
      </c>
      <c r="Q951" s="49">
        <f>ROUND((3992*$T$1),0)*1.05</f>
        <v>4191.6000000000004</v>
      </c>
    </row>
    <row r="952" spans="1:17" ht="15" customHeight="1" x14ac:dyDescent="0.3">
      <c r="A952" s="42"/>
      <c r="B952" s="43" t="s">
        <v>560</v>
      </c>
      <c r="C952" s="44" t="s">
        <v>45</v>
      </c>
      <c r="D952" s="47">
        <v>1.3</v>
      </c>
      <c r="E952" s="46" t="s">
        <v>47</v>
      </c>
      <c r="F952" s="47">
        <v>1.2</v>
      </c>
      <c r="G952" s="46" t="s">
        <v>48</v>
      </c>
      <c r="H952" s="47">
        <v>0.95</v>
      </c>
      <c r="I952" s="48">
        <v>11.6</v>
      </c>
      <c r="J952" s="49">
        <f>ROUND((3023*$T$1),0)*1.05</f>
        <v>3174.15</v>
      </c>
      <c r="K952" s="49">
        <f>ROUND((3359*$T$1),0)*1.05</f>
        <v>3526.9500000000003</v>
      </c>
      <c r="L952" s="49">
        <f>ROUND((3434*$T$1),0)*1.05</f>
        <v>3605.7000000000003</v>
      </c>
      <c r="M952" s="49">
        <f>ROUND((3520*$T$1),0)*1.05</f>
        <v>3696</v>
      </c>
      <c r="N952" s="49">
        <f>ROUND((3606*$T$1),0)*1.05</f>
        <v>3786.3</v>
      </c>
      <c r="O952" s="49">
        <f>ROUND((3658*$T$1),0)*1.05</f>
        <v>3840.9</v>
      </c>
      <c r="P952" s="49">
        <f>ROUND((3813*$T$1),0)*1.05</f>
        <v>4003.65</v>
      </c>
      <c r="Q952" s="49">
        <f>ROUND((4073*$T$1),0)*1.05</f>
        <v>4276.6500000000005</v>
      </c>
    </row>
    <row r="953" spans="1:17" ht="15" customHeight="1" x14ac:dyDescent="0.3">
      <c r="A953" s="42"/>
      <c r="B953" s="43" t="s">
        <v>561</v>
      </c>
      <c r="C953" s="44" t="s">
        <v>45</v>
      </c>
      <c r="D953" s="47">
        <v>1.4</v>
      </c>
      <c r="E953" s="46" t="s">
        <v>47</v>
      </c>
      <c r="F953" s="47">
        <v>1.2</v>
      </c>
      <c r="G953" s="46" t="s">
        <v>48</v>
      </c>
      <c r="H953" s="47">
        <v>0.95</v>
      </c>
      <c r="I953" s="48">
        <v>11.8</v>
      </c>
      <c r="J953" s="49">
        <f>ROUND((3084*$T$1),0)*1.05</f>
        <v>3238.2000000000003</v>
      </c>
      <c r="K953" s="49">
        <f>ROUND((3427*$T$1),0)*1.05</f>
        <v>3598.3500000000004</v>
      </c>
      <c r="L953" s="49">
        <f>ROUND((3504*$T$1),0)*1.05</f>
        <v>3679.2000000000003</v>
      </c>
      <c r="M953" s="49">
        <f>ROUND((3591*$T$1),0)*1.05</f>
        <v>3770.55</v>
      </c>
      <c r="N953" s="49">
        <f>ROUND((3680*$T$1),0)*1.05</f>
        <v>3864</v>
      </c>
      <c r="O953" s="49">
        <f>ROUND((3733*$T$1),0)*1.05</f>
        <v>3919.65</v>
      </c>
      <c r="P953" s="49">
        <f>ROUND((3892*$T$1),0)*1.05</f>
        <v>4086.6000000000004</v>
      </c>
      <c r="Q953" s="49">
        <f>ROUND((4156*$T$1),0)*1.05</f>
        <v>4363.8</v>
      </c>
    </row>
    <row r="954" spans="1:17" ht="15" customHeight="1" x14ac:dyDescent="0.3">
      <c r="A954" s="42"/>
      <c r="B954" s="43"/>
      <c r="C954" s="44"/>
      <c r="D954" s="47"/>
      <c r="E954" s="46"/>
      <c r="F954" s="47"/>
      <c r="G954" s="46"/>
      <c r="H954" s="47"/>
      <c r="I954" s="48"/>
      <c r="J954" s="49"/>
      <c r="K954" s="49"/>
      <c r="L954" s="49"/>
      <c r="M954" s="49"/>
      <c r="N954" s="49"/>
      <c r="O954" s="49"/>
      <c r="P954" s="49"/>
      <c r="Q954" s="49"/>
    </row>
    <row r="955" spans="1:17" ht="15" customHeight="1" x14ac:dyDescent="0.3">
      <c r="A955" s="42"/>
      <c r="B955" s="43" t="s">
        <v>562</v>
      </c>
      <c r="C955" s="44" t="s">
        <v>45</v>
      </c>
      <c r="D955" s="47" t="s">
        <v>66</v>
      </c>
      <c r="E955" s="46" t="s">
        <v>47</v>
      </c>
      <c r="F955" s="47">
        <v>1.2</v>
      </c>
      <c r="G955" s="46" t="s">
        <v>48</v>
      </c>
      <c r="H955" s="47">
        <v>0.95</v>
      </c>
      <c r="I955" s="48">
        <v>10.7</v>
      </c>
      <c r="J955" s="49">
        <f>ROUND((2760*$T$1),0)*1.05</f>
        <v>2898</v>
      </c>
      <c r="K955" s="49">
        <f>ROUND((3066*$T$1),0)*1.05</f>
        <v>3219.3</v>
      </c>
      <c r="L955" s="49">
        <f>ROUND((3135*$T$1),0)*1.05</f>
        <v>3291.75</v>
      </c>
      <c r="M955" s="49">
        <f>ROUND((3213*$T$1),0)*1.05</f>
        <v>3373.65</v>
      </c>
      <c r="N955" s="49">
        <f>ROUND((3292*$T$1),0)*1.05</f>
        <v>3456.6000000000004</v>
      </c>
      <c r="O955" s="49">
        <f>ROUND((3340*$T$1),0)*1.05</f>
        <v>3507</v>
      </c>
      <c r="P955" s="49">
        <f>ROUND((3482*$T$1),0)*1.05</f>
        <v>3656.1000000000004</v>
      </c>
      <c r="Q955" s="49">
        <f>ROUND((3719*$T$1),0)*1.05</f>
        <v>3904.9500000000003</v>
      </c>
    </row>
    <row r="956" spans="1:17" ht="15" customHeight="1" x14ac:dyDescent="0.3">
      <c r="A956" s="42"/>
      <c r="B956" s="43" t="s">
        <v>563</v>
      </c>
      <c r="C956" s="44" t="s">
        <v>45</v>
      </c>
      <c r="D956" s="47" t="s">
        <v>64</v>
      </c>
      <c r="E956" s="46" t="s">
        <v>47</v>
      </c>
      <c r="F956" s="47">
        <v>1.2</v>
      </c>
      <c r="G956" s="46" t="s">
        <v>48</v>
      </c>
      <c r="H956" s="47">
        <v>0.95</v>
      </c>
      <c r="I956" s="48">
        <v>10.9</v>
      </c>
      <c r="J956" s="49">
        <f>ROUND((2816*$T$1),0)*1.05</f>
        <v>2956.8</v>
      </c>
      <c r="K956" s="49">
        <f>ROUND((3129*$T$1),0)*1.05</f>
        <v>3285.4500000000003</v>
      </c>
      <c r="L956" s="49">
        <f>ROUND((3199*$T$1),0)*1.05</f>
        <v>3358.9500000000003</v>
      </c>
      <c r="M956" s="49">
        <f>ROUND((3279*$T$1),0)*1.05</f>
        <v>3442.9500000000003</v>
      </c>
      <c r="N956" s="49">
        <f>ROUND((3359*$T$1),0)*1.05</f>
        <v>3526.9500000000003</v>
      </c>
      <c r="O956" s="49">
        <f>ROUND((3407*$T$1),0)*1.05</f>
        <v>3577.3500000000004</v>
      </c>
      <c r="P956" s="49">
        <f>ROUND((3552*$T$1),0)*1.05</f>
        <v>3729.6000000000004</v>
      </c>
      <c r="Q956" s="49">
        <f>ROUND((3795*$T$1),0)*1.05</f>
        <v>3984.75</v>
      </c>
    </row>
    <row r="957" spans="1:17" ht="15" customHeight="1" x14ac:dyDescent="0.3">
      <c r="A957" s="42"/>
      <c r="B957" s="43" t="s">
        <v>564</v>
      </c>
      <c r="C957" s="44" t="s">
        <v>45</v>
      </c>
      <c r="D957" s="47" t="s">
        <v>62</v>
      </c>
      <c r="E957" s="46" t="s">
        <v>47</v>
      </c>
      <c r="F957" s="47">
        <v>1.2</v>
      </c>
      <c r="G957" s="46" t="s">
        <v>48</v>
      </c>
      <c r="H957" s="47">
        <v>0.95</v>
      </c>
      <c r="I957" s="48">
        <v>11.1</v>
      </c>
      <c r="J957" s="49">
        <f>ROUND((2874*$T$1),0)*1.05</f>
        <v>3017.7000000000003</v>
      </c>
      <c r="K957" s="49">
        <f>ROUND((3192*$T$1),0)*1.05</f>
        <v>3351.6000000000004</v>
      </c>
      <c r="L957" s="49">
        <f>ROUND((3264*$T$1),0)*1.05</f>
        <v>3427.2000000000003</v>
      </c>
      <c r="M957" s="49">
        <f>ROUND((3347*$T$1),0)*1.05</f>
        <v>3514.3500000000004</v>
      </c>
      <c r="N957" s="49">
        <f>ROUND((3428*$T$1),0)*1.05</f>
        <v>3599.4</v>
      </c>
      <c r="O957" s="49">
        <f>ROUND((3478*$T$1),0)*1.05</f>
        <v>3651.9</v>
      </c>
      <c r="P957" s="49">
        <f>ROUND((3625*$T$1),0)*1.05</f>
        <v>3806.25</v>
      </c>
      <c r="Q957" s="49">
        <f>ROUND((3872*$T$1),0)*1.05</f>
        <v>4065.6000000000004</v>
      </c>
    </row>
    <row r="958" spans="1:17" ht="15" customHeight="1" x14ac:dyDescent="0.3">
      <c r="A958" s="42"/>
      <c r="B958" s="43" t="s">
        <v>565</v>
      </c>
      <c r="C958" s="44" t="s">
        <v>45</v>
      </c>
      <c r="D958" s="47">
        <v>1.1000000000000001</v>
      </c>
      <c r="E958" s="46" t="s">
        <v>47</v>
      </c>
      <c r="F958" s="47">
        <v>1.2</v>
      </c>
      <c r="G958" s="46" t="s">
        <v>48</v>
      </c>
      <c r="H958" s="47">
        <v>0.95</v>
      </c>
      <c r="I958" s="48">
        <v>11.3</v>
      </c>
      <c r="J958" s="49">
        <f>ROUND((2933*$T$1),0)*1.05</f>
        <v>3079.65</v>
      </c>
      <c r="K958" s="49">
        <f>ROUND((3258*$T$1),0)*1.05</f>
        <v>3420.9</v>
      </c>
      <c r="L958" s="49">
        <f>ROUND((3330*$T$1),0)*1.05</f>
        <v>3496.5</v>
      </c>
      <c r="M958" s="49">
        <f>ROUND((3414*$T$1),0)*1.05</f>
        <v>3584.7000000000003</v>
      </c>
      <c r="N958" s="49">
        <f>ROUND((3498*$T$1),0)*1.05</f>
        <v>3672.9</v>
      </c>
      <c r="O958" s="49">
        <f>ROUND((3548*$T$1),0)*1.05</f>
        <v>3725.4</v>
      </c>
      <c r="P958" s="49">
        <f>ROUND((3700*$T$1),0)*1.05</f>
        <v>3885</v>
      </c>
      <c r="Q958" s="49">
        <f>ROUND((3951*$T$1),0)*1.05</f>
        <v>4148.55</v>
      </c>
    </row>
    <row r="959" spans="1:17" ht="15" customHeight="1" x14ac:dyDescent="0.3">
      <c r="A959" s="42"/>
      <c r="B959" s="43" t="s">
        <v>566</v>
      </c>
      <c r="C959" s="44" t="s">
        <v>45</v>
      </c>
      <c r="D959" s="47" t="s">
        <v>58</v>
      </c>
      <c r="E959" s="46" t="s">
        <v>47</v>
      </c>
      <c r="F959" s="47">
        <v>1.2</v>
      </c>
      <c r="G959" s="46" t="s">
        <v>48</v>
      </c>
      <c r="H959" s="47">
        <v>0.95</v>
      </c>
      <c r="I959" s="48">
        <v>11.446</v>
      </c>
      <c r="J959" s="49">
        <f>ROUND((2992*$T$1),0)*1.05</f>
        <v>3141.6</v>
      </c>
      <c r="K959" s="49">
        <f>ROUND((3325*$T$1),0)*1.05</f>
        <v>3491.25</v>
      </c>
      <c r="L959" s="49">
        <f>ROUND((3928*$T$1),0)*1.05</f>
        <v>4124.4000000000005</v>
      </c>
      <c r="M959" s="49">
        <f>ROUND((3485*$T$1),0)*1.05</f>
        <v>3659.25</v>
      </c>
      <c r="N959" s="49">
        <f>ROUND((3570*$T$1),0)*1.05</f>
        <v>3748.5</v>
      </c>
      <c r="O959" s="49">
        <f>ROUND((3620*$T$1),0)*1.05</f>
        <v>3801</v>
      </c>
      <c r="P959" s="49">
        <f>ROUND((3774*$T$1),0)*1.05</f>
        <v>3962.7000000000003</v>
      </c>
      <c r="Q959" s="49">
        <f>ROUND((4032*$T$1),0)*1.05</f>
        <v>4233.6000000000004</v>
      </c>
    </row>
    <row r="960" spans="1:17" ht="15" customHeight="1" x14ac:dyDescent="0.3">
      <c r="A960" s="42"/>
      <c r="B960" s="43"/>
      <c r="C960" s="44"/>
      <c r="D960" s="47"/>
      <c r="E960" s="46"/>
      <c r="F960" s="47"/>
      <c r="G960" s="46"/>
      <c r="H960" s="47"/>
      <c r="I960" s="57"/>
      <c r="J960" s="58"/>
      <c r="K960" s="58"/>
      <c r="L960" s="58"/>
      <c r="M960" s="58"/>
      <c r="N960" s="58"/>
      <c r="O960" s="58"/>
      <c r="P960" s="58"/>
      <c r="Q960" s="58"/>
    </row>
    <row r="961" spans="1:17" ht="15" customHeight="1" x14ac:dyDescent="0.3">
      <c r="A961" s="42"/>
      <c r="B961" s="43" t="s">
        <v>567</v>
      </c>
      <c r="C961" s="44" t="s">
        <v>45</v>
      </c>
      <c r="D961" s="47">
        <v>1.2</v>
      </c>
      <c r="E961" s="46" t="s">
        <v>47</v>
      </c>
      <c r="F961" s="47">
        <v>1.85</v>
      </c>
      <c r="G961" s="46" t="s">
        <v>48</v>
      </c>
      <c r="H961" s="47">
        <v>0.95</v>
      </c>
      <c r="I961" s="57">
        <v>11</v>
      </c>
      <c r="J961" s="58">
        <f>ROUND((3097*$T$1),0)*1.05</f>
        <v>3251.8500000000004</v>
      </c>
      <c r="K961" s="58">
        <f>ROUND((3441*$T$1),0)*1.05</f>
        <v>3613.05</v>
      </c>
      <c r="L961" s="58">
        <f>ROUND((3511*$T$1),0)*1.05</f>
        <v>3686.55</v>
      </c>
      <c r="M961" s="58">
        <f>ROUND((3593*$T$1),0)*1.05</f>
        <v>3772.65</v>
      </c>
      <c r="N961" s="58">
        <f>ROUND((3674*$T$1),0)*1.05</f>
        <v>3857.7000000000003</v>
      </c>
      <c r="O961" s="58">
        <f>ROUND((3724*$T$1),0)*1.05</f>
        <v>3910.2000000000003</v>
      </c>
      <c r="P961" s="58">
        <f>ROUND((3820*$T$1),0)*1.05</f>
        <v>4011</v>
      </c>
      <c r="Q961" s="58">
        <f>ROUND((4115*$T$1),0)*1.05</f>
        <v>4320.75</v>
      </c>
    </row>
    <row r="962" spans="1:17" ht="15" customHeight="1" x14ac:dyDescent="0.3">
      <c r="A962" s="42"/>
      <c r="B962" s="43" t="s">
        <v>330</v>
      </c>
      <c r="C962" s="44" t="s">
        <v>45</v>
      </c>
      <c r="D962" s="47" t="s">
        <v>385</v>
      </c>
      <c r="E962" s="46" t="s">
        <v>47</v>
      </c>
      <c r="F962" s="47">
        <v>1.2</v>
      </c>
      <c r="G962" s="46" t="s">
        <v>48</v>
      </c>
      <c r="H962" s="47">
        <v>0.95</v>
      </c>
      <c r="I962" s="57">
        <v>11</v>
      </c>
      <c r="J962" s="58">
        <f>ROUND((3097*$T$1),0)*1.05</f>
        <v>3251.8500000000004</v>
      </c>
      <c r="K962" s="58">
        <f>ROUND((3441*$T$1),0)*1.05</f>
        <v>3613.05</v>
      </c>
      <c r="L962" s="58">
        <f>ROUND((3511*$T$1),0)*1.05</f>
        <v>3686.55</v>
      </c>
      <c r="M962" s="58">
        <f>ROUND((3593*$T$1),0)*1.05</f>
        <v>3772.65</v>
      </c>
      <c r="N962" s="58">
        <f>ROUND((3674*$T$1),0)*1.05</f>
        <v>3857.7000000000003</v>
      </c>
      <c r="O962" s="58">
        <f>ROUND((3724*$T$1),0)*1.05</f>
        <v>3910.2000000000003</v>
      </c>
      <c r="P962" s="58">
        <f>ROUND((3870*$T$1),0)*1.05</f>
        <v>4063.5</v>
      </c>
      <c r="Q962" s="58">
        <f>ROUND((4115*$T$1),0)*1.05</f>
        <v>4320.75</v>
      </c>
    </row>
    <row r="963" spans="1:17" ht="15" customHeight="1" x14ac:dyDescent="0.3">
      <c r="A963" s="42"/>
      <c r="B963" s="43" t="s">
        <v>568</v>
      </c>
      <c r="C963" s="44" t="s">
        <v>45</v>
      </c>
      <c r="D963" s="47">
        <v>1.24</v>
      </c>
      <c r="E963" s="46" t="s">
        <v>47</v>
      </c>
      <c r="F963" s="47">
        <v>1.24</v>
      </c>
      <c r="G963" s="46" t="s">
        <v>48</v>
      </c>
      <c r="H963" s="47">
        <v>0.95</v>
      </c>
      <c r="I963" s="57">
        <v>11.3</v>
      </c>
      <c r="J963" s="58">
        <f>ROUND((2760*$T$1),0)*1.05</f>
        <v>2898</v>
      </c>
      <c r="K963" s="58">
        <f>ROUND((3066*$T$1),0)*1.05</f>
        <v>3219.3</v>
      </c>
      <c r="L963" s="58">
        <f>ROUND((3135*$T$1),0)*1.05</f>
        <v>3291.75</v>
      </c>
      <c r="M963" s="58">
        <f>ROUND((3213*$T$1),0)*1.05</f>
        <v>3373.65</v>
      </c>
      <c r="N963" s="58">
        <f>ROUND((3292*$T$1),0)*1.05</f>
        <v>3456.6000000000004</v>
      </c>
      <c r="O963" s="58">
        <f>ROUND((3340*$T$1),0)*1.05</f>
        <v>3507</v>
      </c>
      <c r="P963" s="58">
        <f>ROUND((3482*$T$1),0)*1.05</f>
        <v>3656.1000000000004</v>
      </c>
      <c r="Q963" s="58">
        <f>ROUND((3719*$T$1),0)*1.05</f>
        <v>3904.9500000000003</v>
      </c>
    </row>
    <row r="964" spans="1:17" ht="15" customHeight="1" x14ac:dyDescent="0.3">
      <c r="A964" s="42"/>
      <c r="B964" s="43" t="s">
        <v>569</v>
      </c>
      <c r="C964" s="44" t="s">
        <v>45</v>
      </c>
      <c r="D964" s="47">
        <v>1.24</v>
      </c>
      <c r="E964" s="46" t="s">
        <v>47</v>
      </c>
      <c r="F964" s="47">
        <v>1.24</v>
      </c>
      <c r="G964" s="46" t="s">
        <v>48</v>
      </c>
      <c r="H964" s="47">
        <v>0.95</v>
      </c>
      <c r="I964" s="48">
        <v>11</v>
      </c>
      <c r="J964" s="49">
        <f>ROUND((2870*$T$1),0)*1.05</f>
        <v>3013.5</v>
      </c>
      <c r="K964" s="49">
        <f>ROUND((3189*$T$1),0)*1.05</f>
        <v>3348.4500000000003</v>
      </c>
      <c r="L964" s="49">
        <f>ROUND((3261*$T$1),0)*1.05</f>
        <v>3424.05</v>
      </c>
      <c r="M964" s="49">
        <f>ROUND((3345*$T$1),0)*1.05</f>
        <v>3512.25</v>
      </c>
      <c r="N964" s="49">
        <f>ROUND((3429*$T$1),0)*1.05</f>
        <v>3600.4500000000003</v>
      </c>
      <c r="O964" s="49">
        <f>ROUND((3480*$T$1),0)*1.05</f>
        <v>3654</v>
      </c>
      <c r="P964" s="49">
        <f>ROUND((3632*$T$1),0)*1.05</f>
        <v>3813.6000000000004</v>
      </c>
      <c r="Q964" s="49">
        <f>ROUND((3884*$T$1),0)*1.05</f>
        <v>4078.2000000000003</v>
      </c>
    </row>
    <row r="965" spans="1:17" ht="15" customHeight="1" x14ac:dyDescent="0.3">
      <c r="A965" s="42"/>
      <c r="B965" s="43" t="s">
        <v>332</v>
      </c>
      <c r="C965" s="44" t="s">
        <v>45</v>
      </c>
      <c r="D965" s="47">
        <v>1.6</v>
      </c>
      <c r="E965" s="46" t="s">
        <v>47</v>
      </c>
      <c r="F965" s="47">
        <v>1.2</v>
      </c>
      <c r="G965" s="46" t="s">
        <v>48</v>
      </c>
      <c r="H965" s="47">
        <v>0.95</v>
      </c>
      <c r="I965" s="57">
        <v>10.199999999999999</v>
      </c>
      <c r="J965" s="58">
        <f>ROUND((2849*$T$1),0)*1.05</f>
        <v>2991.4500000000003</v>
      </c>
      <c r="K965" s="58">
        <f>ROUND((3166*$T$1),0)*1.05</f>
        <v>3324.3</v>
      </c>
      <c r="L965" s="58">
        <f>ROUND((3230*$T$1),0)*1.05</f>
        <v>3391.5</v>
      </c>
      <c r="M965" s="58">
        <f>ROUND((3305*$T$1),0)*1.05</f>
        <v>3470.25</v>
      </c>
      <c r="N965" s="58">
        <f>ROUND((3380*$T$1),0)*1.05</f>
        <v>3549</v>
      </c>
      <c r="O965" s="58">
        <f>ROUND((3426*$T$1),0)*1.05</f>
        <v>3597.3</v>
      </c>
      <c r="P965" s="58">
        <f>ROUND((3560*$T$1),0)*1.05</f>
        <v>3738</v>
      </c>
      <c r="Q965" s="58">
        <f>ROUND((3786*$T$1),0)*1.05</f>
        <v>3975.3</v>
      </c>
    </row>
    <row r="966" spans="1:17" ht="15" customHeight="1" x14ac:dyDescent="0.3">
      <c r="A966" s="42"/>
      <c r="B966" s="43" t="s">
        <v>570</v>
      </c>
      <c r="C966" s="44" t="s">
        <v>45</v>
      </c>
      <c r="D966" s="47">
        <v>1.5</v>
      </c>
      <c r="E966" s="46" t="s">
        <v>47</v>
      </c>
      <c r="F966" s="47">
        <v>1.2</v>
      </c>
      <c r="G966" s="46" t="s">
        <v>48</v>
      </c>
      <c r="H966" s="47">
        <v>0.95</v>
      </c>
      <c r="I966" s="57">
        <v>9.6999999999999993</v>
      </c>
      <c r="J966" s="58">
        <f>ROUND((2707*$T$1),0)*1.05</f>
        <v>2842.35</v>
      </c>
      <c r="K966" s="58">
        <f>ROUND((3007*$T$1),0)*1.05</f>
        <v>3157.35</v>
      </c>
      <c r="L966" s="58">
        <f>ROUND((3068*$T$1),0)*1.05</f>
        <v>3221.4</v>
      </c>
      <c r="M966" s="58">
        <f>ROUND((3140*$T$1),0)*1.05</f>
        <v>3297</v>
      </c>
      <c r="N966" s="58">
        <f>ROUND((3211*$T$1),0)*1.05</f>
        <v>3371.55</v>
      </c>
      <c r="O966" s="58">
        <f>ROUND((3255*$T$1),0)*1.05</f>
        <v>3417.75</v>
      </c>
      <c r="P966" s="58">
        <f>ROUND((3382*$T$1),0)*1.05</f>
        <v>3551.1000000000004</v>
      </c>
      <c r="Q966" s="58">
        <f>ROUND((3596*$T$1),0)*1.05</f>
        <v>3775.8</v>
      </c>
    </row>
    <row r="967" spans="1:17" ht="15" customHeight="1" x14ac:dyDescent="0.3">
      <c r="A967" s="42"/>
      <c r="B967" s="43"/>
      <c r="C967" s="44"/>
      <c r="D967" s="47"/>
      <c r="E967" s="46"/>
      <c r="F967" s="47"/>
      <c r="G967" s="46"/>
      <c r="H967" s="47"/>
      <c r="I967" s="57"/>
      <c r="J967" s="58"/>
      <c r="K967" s="58"/>
      <c r="L967" s="58"/>
      <c r="M967" s="58"/>
      <c r="N967" s="58"/>
      <c r="O967" s="58"/>
      <c r="P967" s="58"/>
      <c r="Q967" s="58"/>
    </row>
    <row r="968" spans="1:17" ht="15" customHeight="1" x14ac:dyDescent="0.3">
      <c r="A968" s="42"/>
      <c r="B968" s="43" t="s">
        <v>571</v>
      </c>
      <c r="C968" s="44" t="s">
        <v>45</v>
      </c>
      <c r="D968" s="47" t="s">
        <v>60</v>
      </c>
      <c r="E968" s="46" t="s">
        <v>47</v>
      </c>
      <c r="F968" s="47">
        <v>1.2</v>
      </c>
      <c r="G968" s="46" t="s">
        <v>48</v>
      </c>
      <c r="H968" s="47">
        <v>0.95</v>
      </c>
      <c r="I968" s="48">
        <v>11.2</v>
      </c>
      <c r="J968" s="49">
        <f>ROUND((2903*$T$1),0)*1.05</f>
        <v>3048.15</v>
      </c>
      <c r="K968" s="49">
        <f>ROUND((3226*$T$1),0)*1.05</f>
        <v>3387.3</v>
      </c>
      <c r="L968" s="49">
        <f>ROUND((3298*$T$1),0)*1.05</f>
        <v>3462.9</v>
      </c>
      <c r="M968" s="49">
        <f>ROUND((3381*$T$1),0)*1.05</f>
        <v>3550.05</v>
      </c>
      <c r="N968" s="49">
        <f>ROUND((3464*$T$1),0)*1.05</f>
        <v>3637.2000000000003</v>
      </c>
      <c r="O968" s="49">
        <f>ROUND((3513*$T$1),0)*1.05</f>
        <v>3688.65</v>
      </c>
      <c r="P968" s="49">
        <f>ROUND((3663*$T$1),0)*1.05</f>
        <v>3846.15</v>
      </c>
      <c r="Q968" s="49">
        <f>ROUND((3912*$T$1),0)*1.05</f>
        <v>4107.6000000000004</v>
      </c>
    </row>
    <row r="969" spans="1:17" ht="15" customHeight="1" x14ac:dyDescent="0.3">
      <c r="A969" s="42"/>
      <c r="B969" s="43" t="s">
        <v>572</v>
      </c>
      <c r="C969" s="44" t="s">
        <v>45</v>
      </c>
      <c r="D969" s="47" t="s">
        <v>58</v>
      </c>
      <c r="E969" s="46" t="s">
        <v>47</v>
      </c>
      <c r="F969" s="47">
        <v>1.2</v>
      </c>
      <c r="G969" s="46" t="s">
        <v>48</v>
      </c>
      <c r="H969" s="47">
        <v>0.95</v>
      </c>
      <c r="I969" s="48">
        <v>11.4</v>
      </c>
      <c r="J969" s="49">
        <f>ROUND((2962*$T$1),0)*1.05</f>
        <v>3110.1</v>
      </c>
      <c r="K969" s="49">
        <f>ROUND((3291*$T$1),0)*1.05</f>
        <v>3455.55</v>
      </c>
      <c r="L969" s="49">
        <f>ROUND((3365*$T$1),0)*1.05</f>
        <v>3533.25</v>
      </c>
      <c r="M969" s="49">
        <f>ROUND((3450*$T$1),0)*1.05</f>
        <v>3622.5</v>
      </c>
      <c r="N969" s="49">
        <f>ROUND((3534*$T$1),0)*1.05</f>
        <v>3710.7000000000003</v>
      </c>
      <c r="O969" s="49">
        <f>ROUND((3585*$T$1),0)*1.05</f>
        <v>3764.25</v>
      </c>
      <c r="P969" s="49">
        <f>ROUND((3738*$T$1),0)*1.05</f>
        <v>3924.9</v>
      </c>
      <c r="Q969" s="49">
        <f>ROUND((3992*$T$1),0)*1.05</f>
        <v>4191.6000000000004</v>
      </c>
    </row>
    <row r="970" spans="1:17" ht="15" customHeight="1" x14ac:dyDescent="0.3">
      <c r="A970" s="42"/>
      <c r="B970" s="43" t="s">
        <v>573</v>
      </c>
      <c r="C970" s="44" t="s">
        <v>45</v>
      </c>
      <c r="D970" s="47" t="s">
        <v>83</v>
      </c>
      <c r="E970" s="46" t="s">
        <v>47</v>
      </c>
      <c r="F970" s="47">
        <v>1.2</v>
      </c>
      <c r="G970" s="46" t="s">
        <v>48</v>
      </c>
      <c r="H970" s="47">
        <v>0.95</v>
      </c>
      <c r="I970" s="48">
        <v>11.6</v>
      </c>
      <c r="J970" s="49">
        <f>ROUND((3023*$T$1),0)*1.05</f>
        <v>3174.15</v>
      </c>
      <c r="K970" s="49">
        <f>ROUND((3359*$T$1),0)*1.05</f>
        <v>3526.9500000000003</v>
      </c>
      <c r="L970" s="49">
        <f>ROUND((3434*$T$1),0)*1.05</f>
        <v>3605.7000000000003</v>
      </c>
      <c r="M970" s="49">
        <f>ROUND((3520*$T$1),0)*1.05</f>
        <v>3696</v>
      </c>
      <c r="N970" s="49">
        <f>ROUND((3606*$T$1),0)*1.05</f>
        <v>3786.3</v>
      </c>
      <c r="O970" s="49">
        <f>ROUND((3658*$T$1),0)*1.05</f>
        <v>3840.9</v>
      </c>
      <c r="P970" s="49">
        <f>ROUND((3813*$T$1),0)*1.05</f>
        <v>4003.65</v>
      </c>
      <c r="Q970" s="49">
        <f>ROUND((4073*$T$1),0)*1.05</f>
        <v>4276.6500000000005</v>
      </c>
    </row>
    <row r="971" spans="1:17" ht="15" customHeight="1" x14ac:dyDescent="0.3">
      <c r="A971" s="42"/>
      <c r="B971" s="43" t="s">
        <v>574</v>
      </c>
      <c r="C971" s="44" t="s">
        <v>45</v>
      </c>
      <c r="D971" s="47">
        <v>1.4</v>
      </c>
      <c r="E971" s="46" t="s">
        <v>47</v>
      </c>
      <c r="F971" s="47">
        <v>1.2</v>
      </c>
      <c r="G971" s="46" t="s">
        <v>48</v>
      </c>
      <c r="H971" s="47">
        <v>0.95</v>
      </c>
      <c r="I971" s="48">
        <v>11.8</v>
      </c>
      <c r="J971" s="49">
        <f>ROUND((3084*$T$1),0)*1.05</f>
        <v>3238.2000000000003</v>
      </c>
      <c r="K971" s="49">
        <f>ROUND((3427*$T$1),0)*1.05</f>
        <v>3598.3500000000004</v>
      </c>
      <c r="L971" s="49">
        <f>ROUND((3504*$T$1),0)*1.05</f>
        <v>3679.2000000000003</v>
      </c>
      <c r="M971" s="49">
        <f>ROUND((3591*$T$1),0)*1.05</f>
        <v>3770.55</v>
      </c>
      <c r="N971" s="49">
        <f>ROUND((3680*$T$1),0)*1.05</f>
        <v>3864</v>
      </c>
      <c r="O971" s="49">
        <f>ROUND((3733*$T$1),0)*1.05</f>
        <v>3919.65</v>
      </c>
      <c r="P971" s="49">
        <f>ROUND((3892*$T$1),0)*1.05</f>
        <v>4086.6000000000004</v>
      </c>
      <c r="Q971" s="49">
        <f>ROUND((4156*$T$1),0)*1.05</f>
        <v>4363.8</v>
      </c>
    </row>
    <row r="972" spans="1:17" ht="15" customHeight="1" x14ac:dyDescent="0.3">
      <c r="A972" s="42"/>
      <c r="B972" s="43" t="s">
        <v>575</v>
      </c>
      <c r="C972" s="44" t="s">
        <v>45</v>
      </c>
      <c r="D972" s="47" t="s">
        <v>79</v>
      </c>
      <c r="E972" s="46" t="s">
        <v>47</v>
      </c>
      <c r="F972" s="47">
        <v>1.2</v>
      </c>
      <c r="G972" s="46" t="s">
        <v>48</v>
      </c>
      <c r="H972" s="47">
        <v>0.95</v>
      </c>
      <c r="I972" s="48">
        <v>12</v>
      </c>
      <c r="J972" s="49">
        <f>ROUND((3148*$T$1),0)*1.05</f>
        <v>3305.4</v>
      </c>
      <c r="K972" s="49">
        <f>ROUND((3497*$T$1),0)*1.05</f>
        <v>3671.8500000000004</v>
      </c>
      <c r="L972" s="49">
        <f>ROUND((3575*$T$1),0)*1.05</f>
        <v>3753.75</v>
      </c>
      <c r="M972" s="49">
        <f>ROUND((3665*$T$1),0)*1.05</f>
        <v>3848.25</v>
      </c>
      <c r="N972" s="49">
        <f>ROUND((3555*$T$1),0)*1.05</f>
        <v>3732.75</v>
      </c>
      <c r="O972" s="49">
        <f>ROUND((3809*$T$1),0)*1.05</f>
        <v>3999.4500000000003</v>
      </c>
      <c r="P972" s="49">
        <f>ROUND((3971*$T$1),0)*1.05</f>
        <v>4169.55</v>
      </c>
      <c r="Q972" s="49">
        <f>ROUND((4241*$T$1),0)*1.05</f>
        <v>4453.05</v>
      </c>
    </row>
    <row r="973" spans="1:17" ht="15" customHeight="1" x14ac:dyDescent="0.3">
      <c r="A973" s="42"/>
      <c r="B973" s="43"/>
      <c r="C973" s="44"/>
      <c r="D973" s="47"/>
      <c r="E973" s="46"/>
      <c r="F973" s="47"/>
      <c r="G973" s="46"/>
      <c r="H973" s="47"/>
      <c r="I973" s="48"/>
      <c r="J973" s="49"/>
      <c r="K973" s="49"/>
      <c r="L973" s="49"/>
      <c r="M973" s="49"/>
      <c r="N973" s="49"/>
      <c r="O973" s="49"/>
      <c r="P973" s="49"/>
      <c r="Q973" s="49"/>
    </row>
    <row r="974" spans="1:17" ht="15" customHeight="1" x14ac:dyDescent="0.3">
      <c r="A974" s="42"/>
      <c r="B974" s="43" t="s">
        <v>576</v>
      </c>
      <c r="C974" s="44" t="s">
        <v>45</v>
      </c>
      <c r="D974" s="47">
        <v>1</v>
      </c>
      <c r="E974" s="46" t="s">
        <v>47</v>
      </c>
      <c r="F974" s="47">
        <v>1.2</v>
      </c>
      <c r="G974" s="46" t="s">
        <v>48</v>
      </c>
      <c r="H974" s="47">
        <v>0.95</v>
      </c>
      <c r="I974" s="48">
        <v>11</v>
      </c>
      <c r="J974" s="49">
        <f>ROUND((2845*$T$1),0)*1.05</f>
        <v>2987.25</v>
      </c>
      <c r="K974" s="49">
        <f>ROUND((3161*$T$1),0)*1.05</f>
        <v>3319.05</v>
      </c>
      <c r="L974" s="49">
        <f>ROUND((3232*$T$1),0)*1.05</f>
        <v>3393.6000000000004</v>
      </c>
      <c r="M974" s="49">
        <f>ROUND((3313*$T$1),0)*1.05</f>
        <v>3478.65</v>
      </c>
      <c r="N974" s="49">
        <f>ROUND((3294*$T$1),0)*1.05</f>
        <v>3458.7000000000003</v>
      </c>
      <c r="O974" s="49">
        <f>ROUND((3443*$T$1),0)*1.05</f>
        <v>3615.15</v>
      </c>
      <c r="P974" s="49">
        <f>ROUND((3589*$T$1),0)*1.05</f>
        <v>3768.4500000000003</v>
      </c>
      <c r="Q974" s="49">
        <f>ROUND((3834*$T$1),0)*1.05</f>
        <v>4025.7000000000003</v>
      </c>
    </row>
    <row r="975" spans="1:17" ht="15" customHeight="1" x14ac:dyDescent="0.3">
      <c r="A975" s="42"/>
      <c r="B975" s="43" t="s">
        <v>577</v>
      </c>
      <c r="C975" s="44" t="s">
        <v>45</v>
      </c>
      <c r="D975" s="47">
        <v>1.1000000000000001</v>
      </c>
      <c r="E975" s="46" t="s">
        <v>47</v>
      </c>
      <c r="F975" s="47">
        <v>1.2</v>
      </c>
      <c r="G975" s="46" t="s">
        <v>48</v>
      </c>
      <c r="H975" s="47">
        <v>0.95</v>
      </c>
      <c r="I975" s="48">
        <v>11.2</v>
      </c>
      <c r="J975" s="49">
        <f>ROUND((2195*$T$1),0)*1.05</f>
        <v>2304.75</v>
      </c>
      <c r="K975" s="49">
        <f>ROUND((3226*$T$1),0)*1.05</f>
        <v>3387.3</v>
      </c>
      <c r="L975" s="49">
        <f>ROUND((3298*$T$1),0)*1.05</f>
        <v>3462.9</v>
      </c>
      <c r="M975" s="49">
        <f>ROUND((3381*$T$1),0)*1.05</f>
        <v>3550.05</v>
      </c>
      <c r="N975" s="49">
        <f>ROUND((3464*$T$1),0)*1.05</f>
        <v>3637.2000000000003</v>
      </c>
      <c r="O975" s="49">
        <f>ROUND((3513*$T$1),0)*1.05</f>
        <v>3688.65</v>
      </c>
      <c r="P975" s="49">
        <f>ROUND((3663*$T$1),0)*1.05</f>
        <v>3846.15</v>
      </c>
      <c r="Q975" s="49">
        <f>ROUND((3912*$T$1),0)*1.05</f>
        <v>4107.6000000000004</v>
      </c>
    </row>
    <row r="976" spans="1:17" ht="15" customHeight="1" x14ac:dyDescent="0.3">
      <c r="A976" s="42"/>
      <c r="B976" s="43" t="s">
        <v>578</v>
      </c>
      <c r="C976" s="44" t="s">
        <v>45</v>
      </c>
      <c r="D976" s="47">
        <v>1.2</v>
      </c>
      <c r="E976" s="46" t="s">
        <v>47</v>
      </c>
      <c r="F976" s="47">
        <v>1.2</v>
      </c>
      <c r="G976" s="46" t="s">
        <v>48</v>
      </c>
      <c r="H976" s="47">
        <v>0.95</v>
      </c>
      <c r="I976" s="48">
        <v>11.4</v>
      </c>
      <c r="J976" s="49">
        <f>ROUND((2962*$T$1),0)*1.05</f>
        <v>3110.1</v>
      </c>
      <c r="K976" s="49">
        <f>ROUND((3291*$T$1),0)*1.05</f>
        <v>3455.55</v>
      </c>
      <c r="L976" s="49">
        <f>ROUND((3465*$T$1),0)*1.05</f>
        <v>3638.25</v>
      </c>
      <c r="M976" s="49">
        <f>ROUND((3450*$T$1),0)*1.05</f>
        <v>3622.5</v>
      </c>
      <c r="N976" s="49">
        <f>ROUND((3534*$T$1),0)*1.05</f>
        <v>3710.7000000000003</v>
      </c>
      <c r="O976" s="49">
        <f>ROUND((3585*$T$1),0)*1.05</f>
        <v>3764.25</v>
      </c>
      <c r="P976" s="49">
        <f>ROUND((3738*$T$1),0)*1.05</f>
        <v>3924.9</v>
      </c>
      <c r="Q976" s="49">
        <f>ROUND((3992*$T$1),0)*1.05</f>
        <v>4191.6000000000004</v>
      </c>
    </row>
    <row r="977" spans="1:17" ht="15" customHeight="1" x14ac:dyDescent="0.3">
      <c r="A977" s="42"/>
      <c r="B977" s="43" t="s">
        <v>579</v>
      </c>
      <c r="C977" s="44" t="s">
        <v>45</v>
      </c>
      <c r="D977" s="47">
        <v>1.3</v>
      </c>
      <c r="E977" s="46" t="s">
        <v>47</v>
      </c>
      <c r="F977" s="47">
        <v>1.2</v>
      </c>
      <c r="G977" s="46" t="s">
        <v>48</v>
      </c>
      <c r="H977" s="47">
        <v>0.95</v>
      </c>
      <c r="I977" s="48">
        <v>11.6</v>
      </c>
      <c r="J977" s="49">
        <f>ROUND((3023*$T$1),0)*1.05</f>
        <v>3174.15</v>
      </c>
      <c r="K977" s="49">
        <f>ROUND((3359*$T$1),0)*1.05</f>
        <v>3526.9500000000003</v>
      </c>
      <c r="L977" s="49">
        <f>ROUND((3434*$T$1),0)*1.05</f>
        <v>3605.7000000000003</v>
      </c>
      <c r="M977" s="49">
        <f>ROUND((3520*$T$1),0)*1.05</f>
        <v>3696</v>
      </c>
      <c r="N977" s="49">
        <f>ROUND((3606*$T$1),0)*1.05</f>
        <v>3786.3</v>
      </c>
      <c r="O977" s="49">
        <f>ROUND((3658*$T$1),0)*1.05</f>
        <v>3840.9</v>
      </c>
      <c r="P977" s="49">
        <f>ROUND((3813*$T$1),0)*1.05</f>
        <v>4003.65</v>
      </c>
      <c r="Q977" s="49">
        <f>ROUND((4073*$T$1),0)*1.05</f>
        <v>4276.6500000000005</v>
      </c>
    </row>
    <row r="978" spans="1:17" ht="15" customHeight="1" x14ac:dyDescent="0.3">
      <c r="A978" s="42"/>
      <c r="B978" s="43" t="s">
        <v>580</v>
      </c>
      <c r="C978" s="44" t="s">
        <v>45</v>
      </c>
      <c r="D978" s="47">
        <v>1.4</v>
      </c>
      <c r="E978" s="46" t="s">
        <v>47</v>
      </c>
      <c r="F978" s="47">
        <v>1.2</v>
      </c>
      <c r="G978" s="46" t="s">
        <v>48</v>
      </c>
      <c r="H978" s="47">
        <v>0.95</v>
      </c>
      <c r="I978" s="48">
        <v>11.8</v>
      </c>
      <c r="J978" s="49">
        <f>ROUND((3084*$T$1),0)*1.05</f>
        <v>3238.2000000000003</v>
      </c>
      <c r="K978" s="49">
        <f>ROUND((3427*$T$1),0)*1.05</f>
        <v>3598.3500000000004</v>
      </c>
      <c r="L978" s="49">
        <f>ROUND((3504*$T$1),0)*1.05</f>
        <v>3679.2000000000003</v>
      </c>
      <c r="M978" s="49">
        <f>ROUND((3591*$T$1),0)*1.05</f>
        <v>3770.55</v>
      </c>
      <c r="N978" s="49">
        <f>ROUND((3680*$T$1),0)*1.05</f>
        <v>3864</v>
      </c>
      <c r="O978" s="49">
        <f>ROUND((3733*$T$1),0)*1.05</f>
        <v>3919.65</v>
      </c>
      <c r="P978" s="49">
        <f>ROUND((3892*$T$1),0)*1.05</f>
        <v>4086.6000000000004</v>
      </c>
      <c r="Q978" s="49">
        <f>ROUND((4156*$T$1),0)*1.05</f>
        <v>4363.8</v>
      </c>
    </row>
    <row r="979" spans="1:17" ht="15" customHeight="1" x14ac:dyDescent="0.3">
      <c r="A979" s="42"/>
      <c r="B979" s="43"/>
      <c r="C979" s="44"/>
      <c r="D979" s="47"/>
      <c r="E979" s="46"/>
      <c r="F979" s="47"/>
      <c r="G979" s="46"/>
      <c r="H979" s="47"/>
      <c r="I979" s="48"/>
      <c r="J979" s="49"/>
      <c r="K979" s="49"/>
      <c r="L979" s="49"/>
      <c r="M979" s="49"/>
      <c r="N979" s="49"/>
      <c r="O979" s="49"/>
      <c r="P979" s="49"/>
      <c r="Q979" s="49"/>
    </row>
    <row r="980" spans="1:17" ht="15" customHeight="1" x14ac:dyDescent="0.3">
      <c r="A980" s="42"/>
      <c r="B980" s="43" t="s">
        <v>581</v>
      </c>
      <c r="C980" s="44" t="s">
        <v>45</v>
      </c>
      <c r="D980" s="47" t="s">
        <v>66</v>
      </c>
      <c r="E980" s="46" t="s">
        <v>47</v>
      </c>
      <c r="F980" s="47">
        <v>1.2</v>
      </c>
      <c r="G980" s="46" t="s">
        <v>48</v>
      </c>
      <c r="H980" s="47">
        <v>0.95</v>
      </c>
      <c r="I980" s="48">
        <v>10.7</v>
      </c>
      <c r="J980" s="49">
        <f>ROUND((2760*$T$1),0)*1.05</f>
        <v>2898</v>
      </c>
      <c r="K980" s="49">
        <f>ROUND((3066*$T$1),0)*1.05</f>
        <v>3219.3</v>
      </c>
      <c r="L980" s="49">
        <f>ROUND((3135*$T$1),0)*1.05</f>
        <v>3291.75</v>
      </c>
      <c r="M980" s="49">
        <f>ROUND((3213*$T$1),0)*1.05</f>
        <v>3373.65</v>
      </c>
      <c r="N980" s="49">
        <f>ROUND((3292*$T$1),0)*1.05</f>
        <v>3456.6000000000004</v>
      </c>
      <c r="O980" s="49">
        <f>ROUND((3340*$T$1),0)*1.05</f>
        <v>3507</v>
      </c>
      <c r="P980" s="49">
        <f>ROUND((3482*$T$1),0)*1.05</f>
        <v>3656.1000000000004</v>
      </c>
      <c r="Q980" s="49">
        <f>ROUND((3719*$T$1),0)*1.05</f>
        <v>3904.9500000000003</v>
      </c>
    </row>
    <row r="981" spans="1:17" ht="15" customHeight="1" x14ac:dyDescent="0.3">
      <c r="A981" s="42"/>
      <c r="B981" s="43" t="s">
        <v>582</v>
      </c>
      <c r="C981" s="44" t="s">
        <v>45</v>
      </c>
      <c r="D981" s="47" t="s">
        <v>64</v>
      </c>
      <c r="E981" s="46" t="s">
        <v>47</v>
      </c>
      <c r="F981" s="47">
        <v>1.2</v>
      </c>
      <c r="G981" s="46" t="s">
        <v>48</v>
      </c>
      <c r="H981" s="47">
        <v>0.95</v>
      </c>
      <c r="I981" s="48">
        <v>10.9</v>
      </c>
      <c r="J981" s="49">
        <f>ROUND((2816*$T$1),0)*1.05</f>
        <v>2956.8</v>
      </c>
      <c r="K981" s="49">
        <f>ROUND((3129*$T$1),0)*1.05</f>
        <v>3285.4500000000003</v>
      </c>
      <c r="L981" s="49">
        <f>ROUND((3199*$T$1),0)*1.05</f>
        <v>3358.9500000000003</v>
      </c>
      <c r="M981" s="49">
        <f>ROUND((3279*$T$1),0)*1.05</f>
        <v>3442.9500000000003</v>
      </c>
      <c r="N981" s="49">
        <f>ROUND((3359*$T$1),0)*1.05</f>
        <v>3526.9500000000003</v>
      </c>
      <c r="O981" s="49">
        <f>ROUND((3407*$T$1),0)*1.05</f>
        <v>3577.3500000000004</v>
      </c>
      <c r="P981" s="49">
        <f>ROUND((3552*$T$1),0)*1.05</f>
        <v>3729.6000000000004</v>
      </c>
      <c r="Q981" s="49">
        <f>ROUND((3795*$T$1),0)*1.05</f>
        <v>3984.75</v>
      </c>
    </row>
    <row r="982" spans="1:17" ht="15" customHeight="1" x14ac:dyDescent="0.3">
      <c r="A982" s="42"/>
      <c r="B982" s="43" t="s">
        <v>583</v>
      </c>
      <c r="C982" s="44" t="s">
        <v>45</v>
      </c>
      <c r="D982" s="47" t="s">
        <v>62</v>
      </c>
      <c r="E982" s="46" t="s">
        <v>47</v>
      </c>
      <c r="F982" s="47">
        <v>1.2</v>
      </c>
      <c r="G982" s="46" t="s">
        <v>48</v>
      </c>
      <c r="H982" s="47">
        <v>0.95</v>
      </c>
      <c r="I982" s="48">
        <v>11.1</v>
      </c>
      <c r="J982" s="49">
        <f>ROUND((2874*$T$1),0)*1.05</f>
        <v>3017.7000000000003</v>
      </c>
      <c r="K982" s="49">
        <f>ROUND((3192*$T$1),0)*1.05</f>
        <v>3351.6000000000004</v>
      </c>
      <c r="L982" s="49">
        <f>ROUND((3264*$T$1),0)*1.05</f>
        <v>3427.2000000000003</v>
      </c>
      <c r="M982" s="49">
        <f>ROUND((3347*$T$1),0)*1.05</f>
        <v>3514.3500000000004</v>
      </c>
      <c r="N982" s="49">
        <f>ROUND((3428*$T$1),0)*1.05</f>
        <v>3599.4</v>
      </c>
      <c r="O982" s="49">
        <f>ROUND((3478*$T$1),0)*1.05</f>
        <v>3651.9</v>
      </c>
      <c r="P982" s="49">
        <f>ROUND((3625*$T$1),0)*1.05</f>
        <v>3806.25</v>
      </c>
      <c r="Q982" s="49">
        <f>ROUND((3872*$T$1),0)*1.05</f>
        <v>4065.6000000000004</v>
      </c>
    </row>
    <row r="983" spans="1:17" ht="15" customHeight="1" x14ac:dyDescent="0.3">
      <c r="A983" s="42"/>
      <c r="B983" s="43" t="s">
        <v>584</v>
      </c>
      <c r="C983" s="44" t="s">
        <v>45</v>
      </c>
      <c r="D983" s="47">
        <v>1.1000000000000001</v>
      </c>
      <c r="E983" s="46" t="s">
        <v>47</v>
      </c>
      <c r="F983" s="47">
        <v>1.2</v>
      </c>
      <c r="G983" s="46" t="s">
        <v>48</v>
      </c>
      <c r="H983" s="47">
        <v>0.95</v>
      </c>
      <c r="I983" s="48">
        <v>11.3</v>
      </c>
      <c r="J983" s="49">
        <f>ROUND((2933*$T$1),0)*1.05</f>
        <v>3079.65</v>
      </c>
      <c r="K983" s="49">
        <f>ROUND((3258*$T$1),0)*1.05</f>
        <v>3420.9</v>
      </c>
      <c r="L983" s="49">
        <f>ROUND((3330*$T$1),0)*1.05</f>
        <v>3496.5</v>
      </c>
      <c r="M983" s="49">
        <f>ROUND((3414*$T$1),0)*1.05</f>
        <v>3584.7000000000003</v>
      </c>
      <c r="N983" s="49">
        <f>ROUND((3498*$T$1),0)*1.05</f>
        <v>3672.9</v>
      </c>
      <c r="O983" s="49">
        <f>ROUND((3548*$T$1),0)*1.05</f>
        <v>3725.4</v>
      </c>
      <c r="P983" s="49">
        <f>ROUND((3700*$T$1),0)*1.05</f>
        <v>3885</v>
      </c>
      <c r="Q983" s="49">
        <f>ROUND((3951*$T$1),0)*1.05</f>
        <v>4148.55</v>
      </c>
    </row>
    <row r="984" spans="1:17" ht="15" customHeight="1" x14ac:dyDescent="0.3">
      <c r="A984" s="42"/>
      <c r="B984" s="43" t="s">
        <v>585</v>
      </c>
      <c r="C984" s="44" t="s">
        <v>45</v>
      </c>
      <c r="D984" s="47" t="s">
        <v>58</v>
      </c>
      <c r="E984" s="46" t="s">
        <v>47</v>
      </c>
      <c r="F984" s="47">
        <v>1.2</v>
      </c>
      <c r="G984" s="46" t="s">
        <v>48</v>
      </c>
      <c r="H984" s="47">
        <v>0.95</v>
      </c>
      <c r="I984" s="48">
        <v>11.446</v>
      </c>
      <c r="J984" s="49">
        <f>ROUND((2992*$T$1),0)*1.05</f>
        <v>3141.6</v>
      </c>
      <c r="K984" s="49">
        <f>ROUND((3325*$T$1),0)*1.05</f>
        <v>3491.25</v>
      </c>
      <c r="L984" s="49">
        <f>ROUND((3928*$T$1),0)*1.05</f>
        <v>4124.4000000000005</v>
      </c>
      <c r="M984" s="49">
        <f>ROUND((3485*$T$1),0)*1.05</f>
        <v>3659.25</v>
      </c>
      <c r="N984" s="49">
        <f>ROUND((3570*$T$1),0)*1.05</f>
        <v>3748.5</v>
      </c>
      <c r="O984" s="49">
        <f>ROUND((3620*$T$1),0)*1.05</f>
        <v>3801</v>
      </c>
      <c r="P984" s="49">
        <f>ROUND((3774*$T$1),0)*1.05</f>
        <v>3962.7000000000003</v>
      </c>
      <c r="Q984" s="49">
        <f>ROUND((4032*$T$1),0)*1.05</f>
        <v>4233.6000000000004</v>
      </c>
    </row>
    <row r="985" spans="1:17" ht="15" customHeight="1" x14ac:dyDescent="0.3">
      <c r="A985" s="42"/>
      <c r="B985" s="43"/>
      <c r="C985" s="44"/>
      <c r="D985" s="47"/>
      <c r="E985" s="46"/>
      <c r="F985" s="47"/>
      <c r="G985" s="46"/>
      <c r="H985" s="47"/>
      <c r="I985" s="57"/>
      <c r="J985" s="58"/>
      <c r="K985" s="58"/>
      <c r="L985" s="58"/>
      <c r="M985" s="58"/>
      <c r="N985" s="58"/>
      <c r="O985" s="58"/>
      <c r="P985" s="58"/>
      <c r="Q985" s="58"/>
    </row>
    <row r="986" spans="1:17" ht="15" customHeight="1" x14ac:dyDescent="0.3">
      <c r="A986" s="42"/>
      <c r="B986" s="43" t="s">
        <v>184</v>
      </c>
      <c r="C986" s="44"/>
      <c r="D986" s="47"/>
      <c r="E986" s="46"/>
      <c r="F986" s="47"/>
      <c r="G986" s="46"/>
      <c r="H986" s="57"/>
      <c r="I986" s="48"/>
      <c r="J986" s="49"/>
      <c r="K986" s="49">
        <f>ROUND((1734*$T$1),0)*1.05</f>
        <v>1820.7</v>
      </c>
      <c r="L986" s="49"/>
      <c r="M986" s="49"/>
      <c r="N986" s="49"/>
      <c r="O986" s="49"/>
      <c r="P986" s="49"/>
      <c r="Q986" s="49"/>
    </row>
    <row r="987" spans="1:17" ht="15" customHeight="1" x14ac:dyDescent="0.3">
      <c r="A987" s="42"/>
      <c r="B987" s="43" t="s">
        <v>185</v>
      </c>
      <c r="C987" s="44"/>
      <c r="D987" s="47"/>
      <c r="E987" s="46"/>
      <c r="F987" s="47"/>
      <c r="G987" s="46"/>
      <c r="H987" s="57"/>
      <c r="I987" s="48"/>
      <c r="J987" s="49"/>
      <c r="K987" s="49">
        <f>ROUND((2765*$T$1),0)*1.05</f>
        <v>2903.25</v>
      </c>
      <c r="L987" s="49"/>
      <c r="M987" s="49"/>
      <c r="N987" s="49"/>
      <c r="O987" s="49"/>
      <c r="P987" s="49"/>
      <c r="Q987" s="49"/>
    </row>
    <row r="988" spans="1:17" ht="15" customHeight="1" x14ac:dyDescent="0.3">
      <c r="A988" s="42"/>
      <c r="B988" s="43" t="s">
        <v>186</v>
      </c>
      <c r="C988" s="44"/>
      <c r="D988" s="47"/>
      <c r="E988" s="46"/>
      <c r="F988" s="47"/>
      <c r="G988" s="46"/>
      <c r="H988" s="57"/>
      <c r="I988" s="48"/>
      <c r="J988" s="49"/>
      <c r="K988" s="49">
        <f>ROUND((3795*$T$1),0)*1.05</f>
        <v>3984.75</v>
      </c>
      <c r="L988" s="49"/>
      <c r="M988" s="49"/>
      <c r="N988" s="49"/>
      <c r="O988" s="49"/>
      <c r="P988" s="49"/>
      <c r="Q988" s="49"/>
    </row>
    <row r="989" spans="1:17" ht="15" customHeight="1" x14ac:dyDescent="0.3">
      <c r="A989" s="42"/>
      <c r="B989" s="43"/>
      <c r="C989" s="44"/>
      <c r="D989" s="47"/>
      <c r="E989" s="46"/>
      <c r="F989" s="47"/>
      <c r="G989" s="46"/>
      <c r="H989" s="57"/>
      <c r="I989" s="48"/>
      <c r="J989" s="49"/>
      <c r="K989" s="49"/>
      <c r="L989" s="49"/>
      <c r="M989" s="49"/>
      <c r="N989" s="49"/>
      <c r="O989" s="49"/>
      <c r="P989" s="49"/>
      <c r="Q989" s="49"/>
    </row>
    <row r="990" spans="1:17" ht="15" customHeight="1" x14ac:dyDescent="0.3">
      <c r="A990" s="42"/>
      <c r="B990" s="51" t="s">
        <v>187</v>
      </c>
      <c r="C990" s="44"/>
      <c r="D990" s="47"/>
      <c r="E990" s="46"/>
      <c r="F990" s="47"/>
      <c r="G990" s="46"/>
      <c r="H990" s="57"/>
      <c r="I990" s="48"/>
      <c r="J990" s="49"/>
      <c r="K990" s="49">
        <f>ROUND((220*$T$1),0)*1.05</f>
        <v>231</v>
      </c>
      <c r="L990" s="49"/>
      <c r="M990" s="49"/>
      <c r="N990" s="49"/>
      <c r="O990" s="49"/>
      <c r="P990" s="49"/>
      <c r="Q990" s="49"/>
    </row>
    <row r="991" spans="1:17" ht="15" customHeight="1" x14ac:dyDescent="0.3">
      <c r="A991" s="42"/>
      <c r="B991" s="51" t="s">
        <v>188</v>
      </c>
      <c r="C991" s="44"/>
      <c r="D991" s="47"/>
      <c r="E991" s="46"/>
      <c r="F991" s="47"/>
      <c r="G991" s="46"/>
      <c r="H991" s="57"/>
      <c r="I991" s="48"/>
      <c r="J991" s="49"/>
      <c r="K991" s="49">
        <f>ROUND((132*$T$1),0)*1.05</f>
        <v>138.6</v>
      </c>
      <c r="L991" s="49"/>
      <c r="M991" s="49"/>
      <c r="N991" s="49"/>
      <c r="O991" s="49"/>
      <c r="P991" s="49"/>
      <c r="Q991" s="49"/>
    </row>
    <row r="992" spans="1:17" ht="15" customHeight="1" x14ac:dyDescent="0.3">
      <c r="A992" s="42"/>
      <c r="B992" s="51" t="s">
        <v>189</v>
      </c>
      <c r="C992" s="44"/>
      <c r="D992" s="47"/>
      <c r="E992" s="46"/>
      <c r="F992" s="47"/>
      <c r="G992" s="46"/>
      <c r="H992" s="57"/>
      <c r="I992" s="48"/>
      <c r="J992" s="49"/>
      <c r="K992" s="49">
        <f>ROUND((132*$T$1),0)*1.05</f>
        <v>138.6</v>
      </c>
      <c r="L992" s="49"/>
      <c r="M992" s="49"/>
      <c r="N992" s="49"/>
      <c r="O992" s="49"/>
      <c r="P992" s="49"/>
      <c r="Q992" s="49"/>
    </row>
    <row r="993" spans="1:17" ht="15" customHeight="1" x14ac:dyDescent="0.3">
      <c r="A993" s="42"/>
      <c r="B993" s="43"/>
      <c r="C993" s="44"/>
      <c r="D993" s="47"/>
      <c r="E993" s="46"/>
      <c r="F993" s="47"/>
      <c r="G993" s="46"/>
      <c r="H993" s="47"/>
      <c r="I993" s="57"/>
      <c r="J993" s="58"/>
      <c r="K993" s="58"/>
      <c r="L993" s="58"/>
      <c r="M993" s="58"/>
      <c r="N993" s="58"/>
      <c r="O993" s="58"/>
      <c r="P993" s="58"/>
      <c r="Q993" s="58"/>
    </row>
    <row r="994" spans="1:17" ht="15" customHeight="1" x14ac:dyDescent="0.3">
      <c r="A994" s="42"/>
      <c r="B994" s="126" t="s">
        <v>439</v>
      </c>
      <c r="C994" s="44"/>
      <c r="D994" s="47"/>
      <c r="E994" s="46"/>
      <c r="F994" s="47"/>
      <c r="G994" s="46"/>
      <c r="H994" s="47"/>
      <c r="I994" s="57"/>
      <c r="J994" s="58"/>
      <c r="K994" s="58"/>
      <c r="L994" s="58"/>
      <c r="M994" s="87" t="s">
        <v>134</v>
      </c>
      <c r="N994" s="58"/>
      <c r="O994" s="58"/>
      <c r="P994" s="58"/>
      <c r="Q994" s="58"/>
    </row>
    <row r="995" spans="1:17" ht="15" customHeight="1" x14ac:dyDescent="0.3">
      <c r="A995" s="42"/>
      <c r="B995" s="60" t="s">
        <v>586</v>
      </c>
      <c r="C995" s="59"/>
      <c r="D995" s="59" t="s">
        <v>511</v>
      </c>
      <c r="E995" s="59"/>
      <c r="F995" s="59"/>
      <c r="G995" s="59"/>
      <c r="H995" s="59"/>
      <c r="I995" s="61"/>
      <c r="J995" s="62"/>
      <c r="K995" s="62"/>
      <c r="L995" s="62"/>
      <c r="M995" s="62"/>
      <c r="N995" s="62"/>
      <c r="O995" s="62"/>
      <c r="P995" s="62"/>
      <c r="Q995" s="62"/>
    </row>
    <row r="996" spans="1:17" ht="15" customHeight="1" x14ac:dyDescent="0.3">
      <c r="A996" s="42"/>
      <c r="B996" s="63"/>
      <c r="C996" s="63"/>
      <c r="D996" s="65"/>
      <c r="E996" s="49"/>
      <c r="F996" s="66"/>
      <c r="G996" s="48"/>
      <c r="H996" s="66"/>
      <c r="I996" s="48"/>
      <c r="J996" s="49"/>
      <c r="K996" s="49"/>
      <c r="L996" s="49"/>
      <c r="M996" s="49"/>
      <c r="N996" s="49"/>
      <c r="O996" s="49"/>
      <c r="P996" s="49"/>
      <c r="Q996" s="49"/>
    </row>
    <row r="997" spans="1:17" ht="29.1" customHeight="1" x14ac:dyDescent="0.25">
      <c r="A997" s="192" t="s">
        <v>587</v>
      </c>
      <c r="B997" s="192"/>
      <c r="C997" s="187" t="s">
        <v>41</v>
      </c>
      <c r="D997" s="187"/>
      <c r="E997" s="187"/>
      <c r="F997" s="187"/>
      <c r="G997" s="187"/>
      <c r="H997" s="187"/>
      <c r="I997" s="149" t="s">
        <v>42</v>
      </c>
      <c r="J997" s="41" t="s">
        <v>43</v>
      </c>
      <c r="K997" s="41">
        <v>1000</v>
      </c>
      <c r="L997" s="41">
        <v>2000</v>
      </c>
      <c r="M997" s="41">
        <v>3000</v>
      </c>
      <c r="N997" s="41">
        <v>4000</v>
      </c>
      <c r="O997" s="41">
        <v>5000</v>
      </c>
      <c r="P997" s="41">
        <v>6000</v>
      </c>
      <c r="Q997" s="41">
        <v>7000</v>
      </c>
    </row>
    <row r="998" spans="1:17" ht="15" customHeight="1" x14ac:dyDescent="0.3">
      <c r="A998" s="42"/>
      <c r="B998" s="43" t="s">
        <v>588</v>
      </c>
      <c r="C998" s="44" t="s">
        <v>45</v>
      </c>
      <c r="D998" s="47">
        <v>1.2</v>
      </c>
      <c r="E998" s="46" t="s">
        <v>47</v>
      </c>
      <c r="F998" s="47">
        <v>1.2</v>
      </c>
      <c r="G998" s="46" t="s">
        <v>48</v>
      </c>
      <c r="H998" s="47">
        <v>0.91</v>
      </c>
      <c r="I998" s="48">
        <v>11.6</v>
      </c>
      <c r="J998" s="49">
        <f>ROUND((3815*$T$1),0)*1.05</f>
        <v>4005.75</v>
      </c>
      <c r="K998" s="49">
        <f>ROUND((4238*$T$1),0)*1.05</f>
        <v>4449.9000000000005</v>
      </c>
      <c r="L998" s="49">
        <f>ROUND((4314*$T$1),0)*1.05</f>
        <v>4529.7</v>
      </c>
      <c r="M998" s="49">
        <f>ROUND((4402*$T$1),0)*1.05</f>
        <v>4622.1000000000004</v>
      </c>
      <c r="N998" s="49">
        <f>ROUND((4490*$T$1),0)*1.05</f>
        <v>4714.5</v>
      </c>
      <c r="O998" s="49">
        <f>ROUND((4543*$T$1),0)*1.05</f>
        <v>4770.1500000000005</v>
      </c>
      <c r="P998" s="49">
        <f>ROUND((4700*$T$1),0)*1.05</f>
        <v>4935</v>
      </c>
      <c r="Q998" s="49">
        <f>ROUND((4963*$T$1),0)*1.05</f>
        <v>5211.1500000000005</v>
      </c>
    </row>
    <row r="999" spans="1:17" ht="15" customHeight="1" x14ac:dyDescent="0.3">
      <c r="A999" s="42"/>
      <c r="B999" s="43" t="s">
        <v>589</v>
      </c>
      <c r="C999" s="44" t="s">
        <v>45</v>
      </c>
      <c r="D999" s="47">
        <v>1.3</v>
      </c>
      <c r="E999" s="46" t="s">
        <v>47</v>
      </c>
      <c r="F999" s="47">
        <v>1.2</v>
      </c>
      <c r="G999" s="46" t="s">
        <v>48</v>
      </c>
      <c r="H999" s="47">
        <v>0.91</v>
      </c>
      <c r="I999" s="48">
        <v>11.6</v>
      </c>
      <c r="J999" s="49">
        <f>ROUND((3834*$T$1),0)*1.05</f>
        <v>4025.7000000000003</v>
      </c>
      <c r="K999" s="49">
        <f>ROUND((4260*$T$1),0)*1.05</f>
        <v>4473</v>
      </c>
      <c r="L999" s="49">
        <f>ROUND((3187*$T$1),0)*1.05</f>
        <v>3346.3500000000004</v>
      </c>
      <c r="M999" s="49">
        <f>ROUND((4424*$T$1),0)*1.05</f>
        <v>4645.2</v>
      </c>
      <c r="N999" s="49">
        <f>ROUND((4513*$T$1),0)*1.05</f>
        <v>4738.6500000000005</v>
      </c>
      <c r="O999" s="49">
        <f>ROUND((4566*$T$1),0)*1.05</f>
        <v>4794.3</v>
      </c>
      <c r="P999" s="49">
        <f>ROUND((4724*$T$1),0)*1.05</f>
        <v>4960.2</v>
      </c>
      <c r="Q999" s="49">
        <f>ROUND((4989*$T$1),0)*1.05</f>
        <v>5238.45</v>
      </c>
    </row>
    <row r="1000" spans="1:17" ht="15" customHeight="1" x14ac:dyDescent="0.3">
      <c r="A1000" s="42"/>
      <c r="B1000" s="43" t="s">
        <v>590</v>
      </c>
      <c r="C1000" s="44" t="s">
        <v>45</v>
      </c>
      <c r="D1000" s="47" t="s">
        <v>81</v>
      </c>
      <c r="E1000" s="46" t="s">
        <v>47</v>
      </c>
      <c r="F1000" s="47">
        <v>1.2</v>
      </c>
      <c r="G1000" s="46" t="s">
        <v>48</v>
      </c>
      <c r="H1000" s="47">
        <v>0.91</v>
      </c>
      <c r="I1000" s="48">
        <v>11.8</v>
      </c>
      <c r="J1000" s="49">
        <f>ROUND((3912*$T$1),0)*1.05</f>
        <v>4107.6000000000004</v>
      </c>
      <c r="K1000" s="49">
        <f>ROUND((4347*$T$1),0)*1.05</f>
        <v>4564.3500000000004</v>
      </c>
      <c r="L1000" s="49">
        <f>ROUND((4424*$T$1),0)*1.05</f>
        <v>4645.2</v>
      </c>
      <c r="M1000" s="49">
        <f>ROUND((4515*$T$1),0)*1.05</f>
        <v>4740.75</v>
      </c>
      <c r="N1000" s="49">
        <f>ROUND((4605*$T$1),0)*1.05</f>
        <v>4835.25</v>
      </c>
      <c r="O1000" s="49">
        <f>ROUND((4659*$T$1),0)*1.05</f>
        <v>4891.95</v>
      </c>
      <c r="P1000" s="49">
        <f>ROUND((4820*$T$1),0)*1.05</f>
        <v>5061</v>
      </c>
      <c r="Q1000" s="49">
        <f>ROUND((5091*$T$1),0)*1.05</f>
        <v>5345.55</v>
      </c>
    </row>
    <row r="1001" spans="1:17" ht="15" customHeight="1" x14ac:dyDescent="0.3">
      <c r="A1001" s="42"/>
      <c r="B1001" s="43" t="s">
        <v>591</v>
      </c>
      <c r="C1001" s="44" t="s">
        <v>45</v>
      </c>
      <c r="D1001" s="47" t="s">
        <v>79</v>
      </c>
      <c r="E1001" s="46" t="s">
        <v>47</v>
      </c>
      <c r="F1001" s="47">
        <v>1.2</v>
      </c>
      <c r="G1001" s="46" t="s">
        <v>48</v>
      </c>
      <c r="H1001" s="47">
        <v>0.91</v>
      </c>
      <c r="I1001" s="48">
        <v>12</v>
      </c>
      <c r="J1001" s="49">
        <f>ROUND((3992*$T$1),0)*1.05</f>
        <v>4191.6000000000004</v>
      </c>
      <c r="K1001" s="49">
        <f>ROUND((4436*$T$1),0)*1.05</f>
        <v>4657.8</v>
      </c>
      <c r="L1001" s="49">
        <f>ROUND((4515*$T$1),0)*1.05</f>
        <v>4740.75</v>
      </c>
      <c r="M1001" s="49">
        <f>ROUND((4607*$T$1),0)*1.05</f>
        <v>4837.3500000000004</v>
      </c>
      <c r="N1001" s="49">
        <f>ROUND((4699*$T$1),0)*1.05</f>
        <v>4933.95</v>
      </c>
      <c r="O1001" s="49">
        <f>ROUND((4754*$T$1),0)*1.05</f>
        <v>4991.7</v>
      </c>
      <c r="P1001" s="49">
        <f>ROUND((4919*$T$1),0)*1.05</f>
        <v>5164.95</v>
      </c>
      <c r="Q1001" s="49">
        <f>ROUND((5195*$T$1),0)*1.05</f>
        <v>5454.75</v>
      </c>
    </row>
    <row r="1002" spans="1:17" ht="15" customHeight="1" x14ac:dyDescent="0.3">
      <c r="A1002" s="42"/>
      <c r="B1002" s="43"/>
      <c r="C1002" s="44"/>
      <c r="D1002" s="47"/>
      <c r="E1002" s="46"/>
      <c r="F1002" s="47"/>
      <c r="G1002" s="46"/>
      <c r="H1002" s="47"/>
      <c r="I1002" s="48"/>
      <c r="J1002" s="49"/>
      <c r="K1002" s="49"/>
      <c r="L1002" s="49"/>
      <c r="M1002" s="49"/>
      <c r="N1002" s="49"/>
      <c r="O1002" s="49"/>
      <c r="P1002" s="49"/>
      <c r="Q1002" s="49"/>
    </row>
    <row r="1003" spans="1:17" ht="15" customHeight="1" x14ac:dyDescent="0.3">
      <c r="A1003" s="42"/>
      <c r="B1003" s="43" t="s">
        <v>592</v>
      </c>
      <c r="C1003" s="44" t="s">
        <v>45</v>
      </c>
      <c r="D1003" s="47">
        <v>1.1000000000000001</v>
      </c>
      <c r="E1003" s="46" t="s">
        <v>47</v>
      </c>
      <c r="F1003" s="47">
        <v>1.2</v>
      </c>
      <c r="G1003" s="46" t="s">
        <v>48</v>
      </c>
      <c r="H1003" s="47">
        <v>0.91</v>
      </c>
      <c r="I1003" s="48">
        <v>11.4</v>
      </c>
      <c r="J1003" s="49">
        <f>ROUND((3738*$T$1),0)*1.05</f>
        <v>3924.9</v>
      </c>
      <c r="K1003" s="49">
        <f>ROUND((4154*$T$1),0)*1.05</f>
        <v>4361.7</v>
      </c>
      <c r="L1003" s="49">
        <f>ROUND((4227*$T$1),0)*1.05</f>
        <v>4438.3500000000004</v>
      </c>
      <c r="M1003" s="49">
        <f>ROUND((4314*$T$1),0)*1.05</f>
        <v>4529.7</v>
      </c>
      <c r="N1003" s="49">
        <f>ROUND((4400*$T$1),0)*1.05</f>
        <v>4620</v>
      </c>
      <c r="O1003" s="49">
        <f>ROUND((4452*$T$1),0)*1.05</f>
        <v>4674.6000000000004</v>
      </c>
      <c r="P1003" s="49">
        <f>ROUND((4606*$T$1),0)*1.05</f>
        <v>4836.3</v>
      </c>
      <c r="Q1003" s="49">
        <f>ROUND((4865*$T$1),0)*1.05</f>
        <v>5108.25</v>
      </c>
    </row>
    <row r="1004" spans="1:17" ht="15" customHeight="1" x14ac:dyDescent="0.3">
      <c r="A1004" s="42"/>
      <c r="B1004" s="43" t="s">
        <v>593</v>
      </c>
      <c r="C1004" s="44" t="s">
        <v>45</v>
      </c>
      <c r="D1004" s="47">
        <v>1.2</v>
      </c>
      <c r="E1004" s="46" t="s">
        <v>47</v>
      </c>
      <c r="F1004" s="47">
        <v>1.2</v>
      </c>
      <c r="G1004" s="46" t="s">
        <v>48</v>
      </c>
      <c r="H1004" s="47">
        <v>0.91</v>
      </c>
      <c r="I1004" s="48">
        <v>11.4</v>
      </c>
      <c r="J1004" s="49">
        <f>ROUND((3757*$T$1),0)*1.05</f>
        <v>3944.8500000000004</v>
      </c>
      <c r="K1004" s="49">
        <f>ROUND((4175*$T$1),0)*1.05</f>
        <v>4383.75</v>
      </c>
      <c r="L1004" s="49">
        <f>ROUND((4249*$T$1),0)*1.05</f>
        <v>4461.45</v>
      </c>
      <c r="M1004" s="49">
        <f>ROUND((4336*$T$1),0)*1.05</f>
        <v>4552.8</v>
      </c>
      <c r="N1004" s="49">
        <f>ROUND((4423*$T$1),0)*1.05</f>
        <v>4644.1500000000005</v>
      </c>
      <c r="O1004" s="49">
        <f>ROUND((4475*$T$1),0)*1.05</f>
        <v>4698.75</v>
      </c>
      <c r="P1004" s="49">
        <f>ROUND((4629*$T$1),0)*1.05</f>
        <v>4860.45</v>
      </c>
      <c r="Q1004" s="49">
        <f>ROUND((4774*$T$1),0)*1.05</f>
        <v>5012.7</v>
      </c>
    </row>
    <row r="1005" spans="1:17" ht="15" customHeight="1" x14ac:dyDescent="0.3">
      <c r="A1005" s="42"/>
      <c r="B1005" s="43" t="s">
        <v>594</v>
      </c>
      <c r="C1005" s="44" t="s">
        <v>45</v>
      </c>
      <c r="D1005" s="47">
        <v>1.3</v>
      </c>
      <c r="E1005" s="46" t="s">
        <v>47</v>
      </c>
      <c r="F1005" s="47">
        <v>1.2</v>
      </c>
      <c r="G1005" s="46" t="s">
        <v>48</v>
      </c>
      <c r="H1005" s="47">
        <v>0.91</v>
      </c>
      <c r="I1005" s="48">
        <v>11.6</v>
      </c>
      <c r="J1005" s="49">
        <f>ROUND((3834*$T$1),0)*1.05</f>
        <v>4025.7000000000003</v>
      </c>
      <c r="K1005" s="49">
        <f>ROUND((4260*$T$1),0)*1.05</f>
        <v>4473</v>
      </c>
      <c r="L1005" s="49">
        <f>ROUND((4337*$T$1),0)*1.05</f>
        <v>4553.8500000000004</v>
      </c>
      <c r="M1005" s="49">
        <f>ROUND((4424*$T$1),0)*1.05</f>
        <v>4645.2</v>
      </c>
      <c r="N1005" s="49">
        <f>ROUND((4513*$T$1),0)*1.05</f>
        <v>4738.6500000000005</v>
      </c>
      <c r="O1005" s="49">
        <f>ROUND((4556*$T$1),0)*1.05</f>
        <v>4783.8</v>
      </c>
      <c r="P1005" s="49">
        <f>ROUND((4724*$T$1),0)*1.05</f>
        <v>4960.2</v>
      </c>
      <c r="Q1005" s="49">
        <f>ROUND((4989*$T$1),0)*1.05</f>
        <v>5238.45</v>
      </c>
    </row>
    <row r="1006" spans="1:17" ht="15" customHeight="1" x14ac:dyDescent="0.3">
      <c r="A1006" s="42"/>
      <c r="B1006" s="43" t="s">
        <v>595</v>
      </c>
      <c r="C1006" s="44" t="s">
        <v>45</v>
      </c>
      <c r="D1006" s="47">
        <v>1.4</v>
      </c>
      <c r="E1006" s="46" t="s">
        <v>47</v>
      </c>
      <c r="F1006" s="47">
        <v>1.2</v>
      </c>
      <c r="G1006" s="46" t="s">
        <v>48</v>
      </c>
      <c r="H1006" s="47">
        <v>0.91</v>
      </c>
      <c r="I1006" s="48">
        <v>11.8</v>
      </c>
      <c r="J1006" s="49">
        <f>ROUND((3933*$T$1),0)*1.05</f>
        <v>4129.6500000000005</v>
      </c>
      <c r="K1006" s="49">
        <f>ROUND((4370*$T$1),0)*1.05</f>
        <v>4588.5</v>
      </c>
      <c r="L1006" s="49">
        <f>ROUND((4448*$T$1),0)*1.05</f>
        <v>4670.4000000000005</v>
      </c>
      <c r="M1006" s="49">
        <f>ROUND((4538*$T$1),0)*1.05</f>
        <v>4764.9000000000005</v>
      </c>
      <c r="N1006" s="49">
        <f>ROUND((4629*$T$1),0)*1.05</f>
        <v>4860.45</v>
      </c>
      <c r="O1006" s="49">
        <f>ROUND((4683*$T$1),0)*1.05</f>
        <v>4917.1500000000005</v>
      </c>
      <c r="P1006" s="49">
        <f>ROUND((4845*$T$1),0)*1.05</f>
        <v>5087.25</v>
      </c>
      <c r="Q1006" s="49">
        <f>ROUND((5115*$T$1),0)*1.05</f>
        <v>5370.75</v>
      </c>
    </row>
    <row r="1007" spans="1:17" ht="15" customHeight="1" x14ac:dyDescent="0.3">
      <c r="A1007" s="42"/>
      <c r="B1007" s="43"/>
      <c r="C1007" s="44"/>
      <c r="D1007" s="47"/>
      <c r="E1007" s="46"/>
      <c r="F1007" s="47"/>
      <c r="G1007" s="46"/>
      <c r="H1007" s="47"/>
      <c r="I1007" s="48"/>
      <c r="J1007" s="49"/>
      <c r="K1007" s="49"/>
      <c r="L1007" s="49"/>
      <c r="M1007" s="49"/>
      <c r="N1007" s="49"/>
      <c r="O1007" s="49"/>
      <c r="P1007" s="49"/>
      <c r="Q1007" s="49"/>
    </row>
    <row r="1008" spans="1:17" ht="15" customHeight="1" x14ac:dyDescent="0.3">
      <c r="A1008" s="42"/>
      <c r="B1008" s="43" t="s">
        <v>596</v>
      </c>
      <c r="C1008" s="44" t="s">
        <v>45</v>
      </c>
      <c r="D1008" s="47" t="s">
        <v>64</v>
      </c>
      <c r="E1008" s="46" t="s">
        <v>47</v>
      </c>
      <c r="F1008" s="47">
        <v>1.2</v>
      </c>
      <c r="G1008" s="46" t="s">
        <v>48</v>
      </c>
      <c r="H1008" s="47">
        <v>0.91</v>
      </c>
      <c r="I1008" s="48">
        <v>11.3</v>
      </c>
      <c r="J1008" s="49">
        <f>ROUND((3700*$T$1),0)*1.05</f>
        <v>3885</v>
      </c>
      <c r="K1008" s="49">
        <f>ROUND((4111*$T$1),0)*1.05</f>
        <v>4316.55</v>
      </c>
      <c r="L1008" s="49">
        <f>ROUND((4185*$T$1),0)*1.05</f>
        <v>4394.25</v>
      </c>
      <c r="M1008" s="49">
        <f>ROUND((4270*$T$1),0)*1.05</f>
        <v>4483.5</v>
      </c>
      <c r="N1008" s="49">
        <f>ROUND((4355*$T$1),0)*1.05</f>
        <v>4572.75</v>
      </c>
      <c r="O1008" s="49">
        <f>ROUND((4407*$T$1),0)*1.05</f>
        <v>4627.3500000000004</v>
      </c>
      <c r="P1008" s="49">
        <f>ROUND((4444*$T$1),0)*1.05</f>
        <v>4666.2</v>
      </c>
      <c r="Q1008" s="49">
        <f>ROUND((4815*$T$1),0)*1.05</f>
        <v>5055.75</v>
      </c>
    </row>
    <row r="1009" spans="1:17" ht="15" customHeight="1" x14ac:dyDescent="0.3">
      <c r="A1009" s="42"/>
      <c r="B1009" s="43" t="s">
        <v>597</v>
      </c>
      <c r="C1009" s="44" t="s">
        <v>45</v>
      </c>
      <c r="D1009" s="47">
        <v>1</v>
      </c>
      <c r="E1009" s="46" t="s">
        <v>47</v>
      </c>
      <c r="F1009" s="47">
        <v>1.2</v>
      </c>
      <c r="G1009" s="46" t="s">
        <v>48</v>
      </c>
      <c r="H1009" s="47">
        <v>0.91</v>
      </c>
      <c r="I1009" s="48">
        <v>11.3</v>
      </c>
      <c r="J1009" s="49">
        <f>ROUND((3719*$T$1),0)*1.05</f>
        <v>3904.9500000000003</v>
      </c>
      <c r="K1009" s="49">
        <f>ROUND((4132*$T$1),0)*1.05</f>
        <v>4338.6000000000004</v>
      </c>
      <c r="L1009" s="49">
        <f>ROUND((4206*$T$1),0)*1.05</f>
        <v>4416.3</v>
      </c>
      <c r="M1009" s="49">
        <f>ROUND((4292*$T$1),0)*1.05</f>
        <v>4506.6000000000004</v>
      </c>
      <c r="N1009" s="49">
        <f>ROUND((4377*$T$1),0)*1.05</f>
        <v>4595.8500000000004</v>
      </c>
      <c r="O1009" s="49">
        <f>ROUND((4429*$T$1),0)*1.05</f>
        <v>4650.45</v>
      </c>
      <c r="P1009" s="49">
        <f>ROUND((4582*$T$1),0)*1.05</f>
        <v>4811.1000000000004</v>
      </c>
      <c r="Q1009" s="49">
        <f>ROUND((4839*$T$1),0)*1.05</f>
        <v>5080.95</v>
      </c>
    </row>
    <row r="1010" spans="1:17" ht="15" customHeight="1" x14ac:dyDescent="0.3">
      <c r="A1010" s="42"/>
      <c r="B1010" s="43" t="s">
        <v>598</v>
      </c>
      <c r="C1010" s="44" t="s">
        <v>45</v>
      </c>
      <c r="D1010" s="47" t="s">
        <v>60</v>
      </c>
      <c r="E1010" s="46" t="s">
        <v>47</v>
      </c>
      <c r="F1010" s="47">
        <v>1.2</v>
      </c>
      <c r="G1010" s="46" t="s">
        <v>48</v>
      </c>
      <c r="H1010" s="47">
        <v>0.91</v>
      </c>
      <c r="I1010" s="48">
        <v>11.3</v>
      </c>
      <c r="J1010" s="49">
        <f>ROUND((3795*$T$1),0)*1.05</f>
        <v>3984.75</v>
      </c>
      <c r="K1010" s="49">
        <f>ROUND((4216*$T$1),0)*1.05</f>
        <v>4426.8</v>
      </c>
      <c r="L1010" s="49">
        <f>ROUND((4292*$T$1),0)*1.05</f>
        <v>4506.6000000000004</v>
      </c>
      <c r="M1010" s="49">
        <f>ROUND((4379*$T$1),0)*1.05</f>
        <v>4597.95</v>
      </c>
      <c r="N1010" s="49">
        <f>ROUND((4467*$T$1),0)*1.05</f>
        <v>4690.3500000000004</v>
      </c>
      <c r="O1010" s="49">
        <f>ROUND((4520*$T$1),0)*1.05</f>
        <v>4746</v>
      </c>
      <c r="P1010" s="49">
        <f>ROUND((4676*$T$1),0)*1.05</f>
        <v>4909.8</v>
      </c>
      <c r="Q1010" s="49">
        <f>ROUND((4938*$T$1),0)*1.05</f>
        <v>5184.9000000000005</v>
      </c>
    </row>
    <row r="1011" spans="1:17" ht="15" customHeight="1" x14ac:dyDescent="0.3">
      <c r="A1011" s="42"/>
      <c r="B1011" s="43" t="s">
        <v>599</v>
      </c>
      <c r="C1011" s="44" t="s">
        <v>45</v>
      </c>
      <c r="D1011" s="47" t="s">
        <v>58</v>
      </c>
      <c r="E1011" s="46" t="s">
        <v>47</v>
      </c>
      <c r="F1011" s="47">
        <v>1.2</v>
      </c>
      <c r="G1011" s="46" t="s">
        <v>48</v>
      </c>
      <c r="H1011" s="47">
        <v>0.91</v>
      </c>
      <c r="I1011" s="48">
        <v>11.5</v>
      </c>
      <c r="J1011" s="49">
        <f>ROUND((3872*$T$1),0)*1.05</f>
        <v>4065.6000000000004</v>
      </c>
      <c r="K1011" s="49">
        <f>ROUND((4302*$T$1),0)*1.05</f>
        <v>4517.1000000000004</v>
      </c>
      <c r="L1011" s="49">
        <f>ROUND((4379*$T$1),0)*1.05</f>
        <v>4597.95</v>
      </c>
      <c r="M1011" s="49">
        <f>ROUND((4469*$T$1),0)*1.05</f>
        <v>4692.45</v>
      </c>
      <c r="N1011" s="49">
        <f>ROUND((4557*$T$1),0)*1.05</f>
        <v>4784.8500000000004</v>
      </c>
      <c r="O1011" s="49">
        <f>ROUND((4612*$T$1),0)*1.05</f>
        <v>4842.6000000000004</v>
      </c>
      <c r="P1011" s="49">
        <f>ROUND((4771*$T$1),0)*1.05</f>
        <v>5009.55</v>
      </c>
      <c r="Q1011" s="49">
        <f>ROUND((5038*$T$1),0)*1.05</f>
        <v>5289.9000000000005</v>
      </c>
    </row>
    <row r="1012" spans="1:17" ht="15" customHeight="1" x14ac:dyDescent="0.3">
      <c r="A1012" s="42"/>
      <c r="B1012" s="43"/>
      <c r="C1012" s="44"/>
      <c r="D1012" s="47"/>
      <c r="E1012" s="46"/>
      <c r="F1012" s="47"/>
      <c r="G1012" s="46"/>
      <c r="H1012" s="47"/>
      <c r="I1012" s="48"/>
      <c r="J1012" s="49"/>
      <c r="K1012" s="49"/>
      <c r="L1012" s="49"/>
      <c r="M1012" s="49"/>
      <c r="N1012" s="49"/>
      <c r="O1012" s="49"/>
      <c r="P1012" s="49"/>
      <c r="Q1012" s="49"/>
    </row>
    <row r="1013" spans="1:17" ht="15" customHeight="1" x14ac:dyDescent="0.3">
      <c r="A1013" s="42"/>
      <c r="B1013" s="43" t="s">
        <v>184</v>
      </c>
      <c r="C1013" s="44"/>
      <c r="D1013" s="47"/>
      <c r="E1013" s="46"/>
      <c r="F1013" s="47"/>
      <c r="G1013" s="46"/>
      <c r="H1013" s="47"/>
      <c r="I1013" s="48"/>
      <c r="J1013" s="49"/>
      <c r="K1013" s="49">
        <f>ROUND((1763*$T$1),0)*1.05</f>
        <v>1851.15</v>
      </c>
      <c r="L1013" s="49"/>
      <c r="M1013" s="49"/>
      <c r="N1013" s="49"/>
      <c r="O1013" s="49"/>
      <c r="P1013" s="49"/>
      <c r="Q1013" s="49"/>
    </row>
    <row r="1014" spans="1:17" ht="15" customHeight="1" x14ac:dyDescent="0.3">
      <c r="A1014" s="42"/>
      <c r="B1014" s="43" t="s">
        <v>185</v>
      </c>
      <c r="C1014" s="44"/>
      <c r="D1014" s="47"/>
      <c r="E1014" s="46"/>
      <c r="F1014" s="47"/>
      <c r="G1014" s="46"/>
      <c r="H1014" s="47"/>
      <c r="I1014" s="57"/>
      <c r="J1014" s="58"/>
      <c r="K1014" s="58">
        <f>ROUND((2824*$T$1),0)*1.05</f>
        <v>2965.2000000000003</v>
      </c>
      <c r="L1014" s="58"/>
      <c r="M1014" s="58"/>
      <c r="N1014" s="58"/>
      <c r="O1014" s="58"/>
      <c r="P1014" s="58"/>
      <c r="Q1014" s="58"/>
    </row>
    <row r="1015" spans="1:17" ht="15" customHeight="1" x14ac:dyDescent="0.3">
      <c r="A1015" s="42"/>
      <c r="B1015" s="43" t="s">
        <v>186</v>
      </c>
      <c r="C1015" s="44"/>
      <c r="D1015" s="47"/>
      <c r="E1015" s="46"/>
      <c r="F1015" s="47"/>
      <c r="G1015" s="46"/>
      <c r="H1015" s="47"/>
      <c r="I1015" s="48"/>
      <c r="J1015" s="49"/>
      <c r="K1015" s="49">
        <f>ROUND((3885*$T$1),0)*1.05</f>
        <v>4079.25</v>
      </c>
      <c r="L1015" s="49"/>
      <c r="M1015" s="49"/>
      <c r="N1015" s="49"/>
      <c r="O1015" s="49"/>
      <c r="P1015" s="49"/>
      <c r="Q1015" s="49"/>
    </row>
    <row r="1016" spans="1:17" ht="15" customHeight="1" x14ac:dyDescent="0.3">
      <c r="A1016" s="42"/>
      <c r="B1016" s="43"/>
      <c r="C1016" s="44"/>
      <c r="D1016" s="47"/>
      <c r="E1016" s="46"/>
      <c r="F1016" s="47"/>
      <c r="G1016" s="46"/>
      <c r="H1016" s="47"/>
      <c r="I1016" s="57"/>
      <c r="J1016" s="58"/>
      <c r="K1016" s="58"/>
      <c r="L1016" s="58"/>
      <c r="M1016" s="58"/>
      <c r="N1016" s="58"/>
      <c r="O1016" s="58"/>
      <c r="P1016" s="58"/>
      <c r="Q1016" s="58"/>
    </row>
    <row r="1017" spans="1:17" ht="15" customHeight="1" x14ac:dyDescent="0.3">
      <c r="A1017" s="42"/>
      <c r="B1017" s="43" t="s">
        <v>455</v>
      </c>
      <c r="C1017" s="44"/>
      <c r="D1017" s="47"/>
      <c r="E1017" s="46"/>
      <c r="F1017" s="47"/>
      <c r="G1017" s="46"/>
      <c r="H1017" s="47"/>
      <c r="I1017" s="48"/>
      <c r="J1017" s="49"/>
      <c r="K1017" s="49">
        <f>ROUND((396*$T$1),0)*1.05</f>
        <v>415.8</v>
      </c>
      <c r="L1017" s="49"/>
      <c r="M1017" s="49"/>
      <c r="N1017" s="49"/>
      <c r="O1017" s="49"/>
      <c r="P1017" s="49"/>
      <c r="Q1017" s="49"/>
    </row>
    <row r="1018" spans="1:17" ht="15" customHeight="1" x14ac:dyDescent="0.3">
      <c r="A1018" s="42"/>
      <c r="B1018" s="43" t="s">
        <v>456</v>
      </c>
      <c r="C1018" s="44"/>
      <c r="D1018" s="47"/>
      <c r="E1018" s="46"/>
      <c r="F1018" s="47"/>
      <c r="G1018" s="46"/>
      <c r="H1018" s="47"/>
      <c r="I1018" s="48"/>
      <c r="J1018" s="49"/>
      <c r="K1018" s="49">
        <f>ROUND((451*$T$1),0)*1.05</f>
        <v>473.55</v>
      </c>
      <c r="L1018" s="49"/>
      <c r="M1018" s="49"/>
      <c r="N1018" s="49"/>
      <c r="O1018" s="49"/>
      <c r="P1018" s="49"/>
      <c r="Q1018" s="49"/>
    </row>
    <row r="1019" spans="1:17" ht="15" customHeight="1" x14ac:dyDescent="0.3">
      <c r="A1019" s="42"/>
      <c r="B1019" s="43"/>
      <c r="C1019" s="44"/>
      <c r="D1019" s="47"/>
      <c r="E1019" s="46"/>
      <c r="F1019" s="47"/>
      <c r="G1019" s="46"/>
      <c r="H1019" s="47"/>
      <c r="I1019" s="48"/>
      <c r="J1019" s="49"/>
      <c r="K1019" s="49"/>
      <c r="L1019" s="49"/>
      <c r="M1019" s="49"/>
      <c r="N1019" s="49"/>
      <c r="O1019" s="49"/>
      <c r="P1019" s="49"/>
      <c r="Q1019" s="49"/>
    </row>
    <row r="1020" spans="1:17" ht="15" customHeight="1" x14ac:dyDescent="0.3">
      <c r="A1020" s="42"/>
      <c r="B1020" s="51" t="s">
        <v>187</v>
      </c>
      <c r="C1020" s="44"/>
      <c r="D1020" s="47"/>
      <c r="E1020" s="46"/>
      <c r="F1020" s="47"/>
      <c r="G1020" s="46"/>
      <c r="H1020" s="57"/>
      <c r="I1020" s="48"/>
      <c r="J1020" s="49"/>
      <c r="K1020" s="49">
        <f>ROUND((220*$T$1),0)*1.05</f>
        <v>231</v>
      </c>
      <c r="L1020" s="49"/>
      <c r="M1020" s="49"/>
      <c r="N1020" s="49"/>
      <c r="O1020" s="49"/>
      <c r="P1020" s="49"/>
      <c r="Q1020" s="49"/>
    </row>
    <row r="1021" spans="1:17" ht="15" customHeight="1" x14ac:dyDescent="0.3">
      <c r="A1021" s="42"/>
      <c r="B1021" s="51" t="s">
        <v>188</v>
      </c>
      <c r="C1021" s="44"/>
      <c r="D1021" s="47"/>
      <c r="E1021" s="46"/>
      <c r="F1021" s="47"/>
      <c r="G1021" s="46"/>
      <c r="H1021" s="57"/>
      <c r="I1021" s="48"/>
      <c r="J1021" s="49"/>
      <c r="K1021" s="49">
        <f>ROUND((132*$T$1),0)*1.05</f>
        <v>138.6</v>
      </c>
      <c r="L1021" s="49"/>
      <c r="M1021" s="49"/>
      <c r="N1021" s="49"/>
      <c r="O1021" s="49"/>
      <c r="P1021" s="49"/>
      <c r="Q1021" s="49"/>
    </row>
    <row r="1022" spans="1:17" ht="15" customHeight="1" x14ac:dyDescent="0.3">
      <c r="A1022" s="42"/>
      <c r="B1022" s="51" t="s">
        <v>189</v>
      </c>
      <c r="C1022" s="44"/>
      <c r="D1022" s="47"/>
      <c r="E1022" s="46"/>
      <c r="F1022" s="47"/>
      <c r="G1022" s="46"/>
      <c r="H1022" s="57"/>
      <c r="I1022" s="48"/>
      <c r="J1022" s="49"/>
      <c r="K1022" s="49">
        <f>ROUND((132*$T$1),0)*1.05</f>
        <v>138.6</v>
      </c>
      <c r="L1022" s="49"/>
      <c r="M1022" s="49"/>
      <c r="N1022" s="49"/>
      <c r="O1022" s="49"/>
      <c r="P1022" s="49"/>
      <c r="Q1022" s="49"/>
    </row>
    <row r="1023" spans="1:17" ht="15" customHeight="1" x14ac:dyDescent="0.3">
      <c r="A1023" s="42"/>
      <c r="B1023" s="43"/>
      <c r="C1023" s="44"/>
      <c r="D1023" s="47"/>
      <c r="E1023" s="46"/>
      <c r="F1023" s="47"/>
      <c r="G1023" s="46"/>
      <c r="H1023" s="47"/>
      <c r="I1023" s="48"/>
      <c r="J1023" s="49"/>
      <c r="K1023" s="49"/>
      <c r="L1023" s="49"/>
      <c r="M1023" s="49"/>
      <c r="N1023" s="49"/>
      <c r="O1023" s="49"/>
      <c r="P1023" s="49"/>
      <c r="Q1023" s="49"/>
    </row>
    <row r="1024" spans="1:17" ht="15" customHeight="1" x14ac:dyDescent="0.3">
      <c r="A1024" s="42"/>
      <c r="B1024" s="118" t="s">
        <v>190</v>
      </c>
      <c r="C1024" s="44"/>
      <c r="D1024" s="47"/>
      <c r="E1024" s="46"/>
      <c r="F1024" s="47"/>
      <c r="G1024" s="46"/>
      <c r="H1024" s="47"/>
      <c r="I1024" s="48"/>
      <c r="J1024" s="49"/>
      <c r="K1024" s="49"/>
      <c r="L1024" s="49"/>
      <c r="M1024" s="49"/>
      <c r="N1024" s="49"/>
      <c r="O1024" s="49"/>
      <c r="P1024" s="49"/>
      <c r="Q1024" s="49"/>
    </row>
    <row r="1025" spans="1:17" ht="15" customHeight="1" x14ac:dyDescent="0.3">
      <c r="A1025" s="42"/>
      <c r="B1025" s="43"/>
      <c r="C1025" s="44"/>
      <c r="D1025" s="47"/>
      <c r="E1025" s="46"/>
      <c r="F1025" s="47"/>
      <c r="G1025" s="46"/>
      <c r="H1025" s="47"/>
      <c r="I1025" s="57"/>
      <c r="J1025" s="58"/>
      <c r="K1025" s="58"/>
      <c r="L1025" s="58"/>
      <c r="M1025" s="58"/>
      <c r="N1025" s="58"/>
      <c r="O1025" s="58"/>
      <c r="P1025" s="58"/>
      <c r="Q1025" s="58"/>
    </row>
    <row r="1026" spans="1:17" ht="15" customHeight="1" x14ac:dyDescent="0.3">
      <c r="A1026" s="42"/>
      <c r="B1026" s="43" t="s">
        <v>600</v>
      </c>
      <c r="C1026" s="44" t="s">
        <v>45</v>
      </c>
      <c r="D1026" s="47">
        <v>1.2</v>
      </c>
      <c r="E1026" s="46" t="s">
        <v>47</v>
      </c>
      <c r="F1026" s="47">
        <v>1.2</v>
      </c>
      <c r="G1026" s="46" t="s">
        <v>48</v>
      </c>
      <c r="H1026" s="47">
        <v>0.98</v>
      </c>
      <c r="I1026" s="48">
        <v>11.6</v>
      </c>
      <c r="J1026" s="49">
        <f>ROUND((3815*$T$1),0)*1.05</f>
        <v>4005.75</v>
      </c>
      <c r="K1026" s="49">
        <f>ROUND((4238*$T$1),0)*1.05</f>
        <v>4449.9000000000005</v>
      </c>
      <c r="L1026" s="49">
        <f>ROUND((4314*$T$1),0)*1.05</f>
        <v>4529.7</v>
      </c>
      <c r="M1026" s="49">
        <f>ROUND((4402*$T$1),0)*1.05</f>
        <v>4622.1000000000004</v>
      </c>
      <c r="N1026" s="49">
        <f>ROUND((4490*$T$1),0)*1.05</f>
        <v>4714.5</v>
      </c>
      <c r="O1026" s="49">
        <f>ROUND((4543*$T$1),0)*1.05</f>
        <v>4770.1500000000005</v>
      </c>
      <c r="P1026" s="49">
        <f>ROUND((4700*$T$1),0)*1.05</f>
        <v>4935</v>
      </c>
      <c r="Q1026" s="49">
        <f>ROUND((4963*$T$1),0)*1.05</f>
        <v>5211.1500000000005</v>
      </c>
    </row>
    <row r="1027" spans="1:17" ht="15" customHeight="1" x14ac:dyDescent="0.3">
      <c r="A1027" s="42"/>
      <c r="B1027" s="43" t="s">
        <v>601</v>
      </c>
      <c r="C1027" s="44" t="s">
        <v>45</v>
      </c>
      <c r="D1027" s="47">
        <v>1.3</v>
      </c>
      <c r="E1027" s="46" t="s">
        <v>47</v>
      </c>
      <c r="F1027" s="47">
        <v>1.2</v>
      </c>
      <c r="G1027" s="46" t="s">
        <v>48</v>
      </c>
      <c r="H1027" s="47">
        <v>0.98</v>
      </c>
      <c r="I1027" s="48">
        <v>11.6</v>
      </c>
      <c r="J1027" s="49">
        <f>ROUND((3834*$T$1),0)*1.05</f>
        <v>4025.7000000000003</v>
      </c>
      <c r="K1027" s="49">
        <f>ROUND((4260*$T$1),0)*1.05</f>
        <v>4473</v>
      </c>
      <c r="L1027" s="49">
        <f>ROUND((3187*$T$1),0)*1.05</f>
        <v>3346.3500000000004</v>
      </c>
      <c r="M1027" s="49">
        <f>ROUND((4424*$T$1),0)*1.05</f>
        <v>4645.2</v>
      </c>
      <c r="N1027" s="49">
        <f>ROUND((4513*$T$1),0)*1.05</f>
        <v>4738.6500000000005</v>
      </c>
      <c r="O1027" s="49">
        <f>ROUND((4566*$T$1),0)*1.05</f>
        <v>4794.3</v>
      </c>
      <c r="P1027" s="49">
        <f>ROUND((4724*$T$1),0)*1.05</f>
        <v>4960.2</v>
      </c>
      <c r="Q1027" s="49">
        <f>ROUND((4989*$T$1),0)*1.05</f>
        <v>5238.45</v>
      </c>
    </row>
    <row r="1028" spans="1:17" ht="15" customHeight="1" x14ac:dyDescent="0.3">
      <c r="A1028" s="42"/>
      <c r="B1028" s="43" t="s">
        <v>602</v>
      </c>
      <c r="C1028" s="44" t="s">
        <v>45</v>
      </c>
      <c r="D1028" s="47" t="s">
        <v>81</v>
      </c>
      <c r="E1028" s="46" t="s">
        <v>47</v>
      </c>
      <c r="F1028" s="47">
        <v>1.2</v>
      </c>
      <c r="G1028" s="46" t="s">
        <v>48</v>
      </c>
      <c r="H1028" s="47">
        <v>0.98</v>
      </c>
      <c r="I1028" s="48">
        <v>11.8</v>
      </c>
      <c r="J1028" s="49">
        <f>ROUND((3912*$T$1),0)*1.05</f>
        <v>4107.6000000000004</v>
      </c>
      <c r="K1028" s="49">
        <f>ROUND((4347*$T$1),0)*1.05</f>
        <v>4564.3500000000004</v>
      </c>
      <c r="L1028" s="49">
        <f>ROUND((4424*$T$1),0)*1.05</f>
        <v>4645.2</v>
      </c>
      <c r="M1028" s="49">
        <f>ROUND((4515*$T$1),0)*1.05</f>
        <v>4740.75</v>
      </c>
      <c r="N1028" s="49">
        <f>ROUND((4605*$T$1),0)*1.05</f>
        <v>4835.25</v>
      </c>
      <c r="O1028" s="49">
        <f>ROUND((4659*$T$1),0)*1.05</f>
        <v>4891.95</v>
      </c>
      <c r="P1028" s="49">
        <f>ROUND((4820*$T$1),0)*1.05</f>
        <v>5061</v>
      </c>
      <c r="Q1028" s="49">
        <f>ROUND((5091*$T$1),0)*1.05</f>
        <v>5345.55</v>
      </c>
    </row>
    <row r="1029" spans="1:17" ht="15" customHeight="1" x14ac:dyDescent="0.3">
      <c r="A1029" s="42"/>
      <c r="B1029" s="43" t="s">
        <v>603</v>
      </c>
      <c r="C1029" s="44" t="s">
        <v>45</v>
      </c>
      <c r="D1029" s="47" t="s">
        <v>79</v>
      </c>
      <c r="E1029" s="46" t="s">
        <v>47</v>
      </c>
      <c r="F1029" s="47">
        <v>1.2</v>
      </c>
      <c r="G1029" s="46" t="s">
        <v>48</v>
      </c>
      <c r="H1029" s="47">
        <v>0.98</v>
      </c>
      <c r="I1029" s="48">
        <v>12</v>
      </c>
      <c r="J1029" s="49">
        <f>ROUND((3992*$T$1),0)*1.05</f>
        <v>4191.6000000000004</v>
      </c>
      <c r="K1029" s="49">
        <f>ROUND((4436*$T$1),0)*1.05</f>
        <v>4657.8</v>
      </c>
      <c r="L1029" s="49">
        <f>ROUND((4515*$T$1),0)*1.05</f>
        <v>4740.75</v>
      </c>
      <c r="M1029" s="49">
        <f>ROUND((4607*$T$1),0)*1.05</f>
        <v>4837.3500000000004</v>
      </c>
      <c r="N1029" s="49">
        <f>ROUND((4699*$T$1),0)*1.05</f>
        <v>4933.95</v>
      </c>
      <c r="O1029" s="49">
        <f>ROUND((4754*$T$1),0)*1.05</f>
        <v>4991.7</v>
      </c>
      <c r="P1029" s="49">
        <f>ROUND((4919*$T$1),0)*1.05</f>
        <v>5164.95</v>
      </c>
      <c r="Q1029" s="49">
        <f>ROUND((5195*$T$1),0)*1.05</f>
        <v>5454.75</v>
      </c>
    </row>
    <row r="1030" spans="1:17" ht="15" customHeight="1" x14ac:dyDescent="0.3">
      <c r="A1030" s="42"/>
      <c r="B1030" s="43"/>
      <c r="C1030" s="44"/>
      <c r="D1030" s="47"/>
      <c r="E1030" s="46"/>
      <c r="F1030" s="47"/>
      <c r="G1030" s="46"/>
      <c r="H1030" s="47"/>
      <c r="I1030" s="48"/>
      <c r="J1030" s="49"/>
      <c r="K1030" s="49"/>
      <c r="L1030" s="49"/>
      <c r="M1030" s="49"/>
      <c r="N1030" s="49"/>
      <c r="O1030" s="49"/>
      <c r="P1030" s="49"/>
      <c r="Q1030" s="49"/>
    </row>
    <row r="1031" spans="1:17" ht="15" customHeight="1" x14ac:dyDescent="0.3">
      <c r="A1031" s="42"/>
      <c r="B1031" s="43" t="s">
        <v>604</v>
      </c>
      <c r="C1031" s="44" t="s">
        <v>45</v>
      </c>
      <c r="D1031" s="47">
        <v>1.1000000000000001</v>
      </c>
      <c r="E1031" s="46" t="s">
        <v>47</v>
      </c>
      <c r="F1031" s="47">
        <v>1.2</v>
      </c>
      <c r="G1031" s="46" t="s">
        <v>48</v>
      </c>
      <c r="H1031" s="47">
        <v>0.98</v>
      </c>
      <c r="I1031" s="48">
        <v>11.4</v>
      </c>
      <c r="J1031" s="49">
        <f>ROUND((3738*$T$1),0)*1.05</f>
        <v>3924.9</v>
      </c>
      <c r="K1031" s="49">
        <f>ROUND((4154*$T$1),0)*1.05</f>
        <v>4361.7</v>
      </c>
      <c r="L1031" s="49">
        <f>ROUND((4227*$T$1),0)*1.05</f>
        <v>4438.3500000000004</v>
      </c>
      <c r="M1031" s="49">
        <f>ROUND((4314*$T$1),0)*1.05</f>
        <v>4529.7</v>
      </c>
      <c r="N1031" s="49">
        <f>ROUND((4400*$T$1),0)*1.05</f>
        <v>4620</v>
      </c>
      <c r="O1031" s="49">
        <f>ROUND((4452*$T$1),0)*1.05</f>
        <v>4674.6000000000004</v>
      </c>
      <c r="P1031" s="49">
        <f>ROUND((4606*$T$1),0)*1.05</f>
        <v>4836.3</v>
      </c>
      <c r="Q1031" s="49">
        <f>ROUND((4865*$T$1),0)*1.05</f>
        <v>5108.25</v>
      </c>
    </row>
    <row r="1032" spans="1:17" ht="15" customHeight="1" x14ac:dyDescent="0.3">
      <c r="A1032" s="42"/>
      <c r="B1032" s="43" t="s">
        <v>605</v>
      </c>
      <c r="C1032" s="44" t="s">
        <v>45</v>
      </c>
      <c r="D1032" s="47">
        <v>1.2</v>
      </c>
      <c r="E1032" s="46" t="s">
        <v>47</v>
      </c>
      <c r="F1032" s="47">
        <v>1.2</v>
      </c>
      <c r="G1032" s="46" t="s">
        <v>48</v>
      </c>
      <c r="H1032" s="47">
        <v>0.98</v>
      </c>
      <c r="I1032" s="48">
        <v>11.4</v>
      </c>
      <c r="J1032" s="49">
        <f>ROUND((3757*$T$1),0)*1.05</f>
        <v>3944.8500000000004</v>
      </c>
      <c r="K1032" s="49">
        <f>ROUND((4175*$T$1),0)*1.05</f>
        <v>4383.75</v>
      </c>
      <c r="L1032" s="49">
        <f>ROUND((4249*$T$1),0)*1.05</f>
        <v>4461.45</v>
      </c>
      <c r="M1032" s="49">
        <f>ROUND((4336*$T$1),0)*1.05</f>
        <v>4552.8</v>
      </c>
      <c r="N1032" s="49">
        <f>ROUND((4423*$T$1),0)*1.05</f>
        <v>4644.1500000000005</v>
      </c>
      <c r="O1032" s="49">
        <f>ROUND((4475*$T$1),0)*1.05</f>
        <v>4698.75</v>
      </c>
      <c r="P1032" s="49">
        <f>ROUND((4629*$T$1),0)*1.05</f>
        <v>4860.45</v>
      </c>
      <c r="Q1032" s="49">
        <f>ROUND((4774*$T$1),0)*1.05</f>
        <v>5012.7</v>
      </c>
    </row>
    <row r="1033" spans="1:17" ht="15" customHeight="1" x14ac:dyDescent="0.3">
      <c r="A1033" s="42"/>
      <c r="B1033" s="43" t="s">
        <v>606</v>
      </c>
      <c r="C1033" s="44" t="s">
        <v>45</v>
      </c>
      <c r="D1033" s="47">
        <v>1.3</v>
      </c>
      <c r="E1033" s="46" t="s">
        <v>47</v>
      </c>
      <c r="F1033" s="47">
        <v>1.2</v>
      </c>
      <c r="G1033" s="46" t="s">
        <v>48</v>
      </c>
      <c r="H1033" s="47">
        <v>0.98</v>
      </c>
      <c r="I1033" s="48">
        <v>11.6</v>
      </c>
      <c r="J1033" s="49">
        <f>ROUND((3834*$T$1),0)*1.05</f>
        <v>4025.7000000000003</v>
      </c>
      <c r="K1033" s="49">
        <f>ROUND((4260*$T$1),0)*1.05</f>
        <v>4473</v>
      </c>
      <c r="L1033" s="49">
        <f>ROUND((4337*$T$1),0)*1.05</f>
        <v>4553.8500000000004</v>
      </c>
      <c r="M1033" s="49">
        <f>ROUND((4424*$T$1),0)*1.05</f>
        <v>4645.2</v>
      </c>
      <c r="N1033" s="49">
        <f>ROUND((4513*$T$1),0)*1.05</f>
        <v>4738.6500000000005</v>
      </c>
      <c r="O1033" s="49">
        <f>ROUND((4556*$T$1),0)*1.05</f>
        <v>4783.8</v>
      </c>
      <c r="P1033" s="49">
        <f>ROUND((4724*$T$1),0)*1.05</f>
        <v>4960.2</v>
      </c>
      <c r="Q1033" s="49">
        <f>ROUND((4989*$T$1),0)*1.05</f>
        <v>5238.45</v>
      </c>
    </row>
    <row r="1034" spans="1:17" ht="15" customHeight="1" x14ac:dyDescent="0.3">
      <c r="A1034" s="42"/>
      <c r="B1034" s="43" t="s">
        <v>607</v>
      </c>
      <c r="C1034" s="44" t="s">
        <v>45</v>
      </c>
      <c r="D1034" s="47">
        <v>1.4</v>
      </c>
      <c r="E1034" s="46" t="s">
        <v>47</v>
      </c>
      <c r="F1034" s="47">
        <v>1.2</v>
      </c>
      <c r="G1034" s="46" t="s">
        <v>48</v>
      </c>
      <c r="H1034" s="47">
        <v>0.98</v>
      </c>
      <c r="I1034" s="48">
        <v>11.8</v>
      </c>
      <c r="J1034" s="49">
        <f>ROUND((3933*$T$1),0)*1.05</f>
        <v>4129.6500000000005</v>
      </c>
      <c r="K1034" s="49">
        <f>ROUND((4370*$T$1),0)*1.05</f>
        <v>4588.5</v>
      </c>
      <c r="L1034" s="49">
        <f>ROUND((4448*$T$1),0)*1.05</f>
        <v>4670.4000000000005</v>
      </c>
      <c r="M1034" s="49">
        <f>ROUND((4538*$T$1),0)*1.05</f>
        <v>4764.9000000000005</v>
      </c>
      <c r="N1034" s="49">
        <f>ROUND((4629*$T$1),0)*1.05</f>
        <v>4860.45</v>
      </c>
      <c r="O1034" s="49">
        <f>ROUND((4683*$T$1),0)*1.05</f>
        <v>4917.1500000000005</v>
      </c>
      <c r="P1034" s="49">
        <f>ROUND((4845*$T$1),0)*1.05</f>
        <v>5087.25</v>
      </c>
      <c r="Q1034" s="49">
        <f>ROUND((5115*$T$1),0)*1.05</f>
        <v>5370.75</v>
      </c>
    </row>
    <row r="1035" spans="1:17" ht="15" customHeight="1" x14ac:dyDescent="0.3">
      <c r="A1035" s="42"/>
      <c r="B1035" s="43"/>
      <c r="C1035" s="44"/>
      <c r="D1035" s="47"/>
      <c r="E1035" s="46"/>
      <c r="F1035" s="47"/>
      <c r="G1035" s="46"/>
      <c r="H1035" s="47"/>
      <c r="I1035" s="48"/>
      <c r="J1035" s="49"/>
      <c r="K1035" s="49"/>
      <c r="L1035" s="49"/>
      <c r="M1035" s="49"/>
      <c r="N1035" s="49"/>
      <c r="O1035" s="49"/>
      <c r="P1035" s="49"/>
      <c r="Q1035" s="49"/>
    </row>
    <row r="1036" spans="1:17" ht="15" customHeight="1" x14ac:dyDescent="0.3">
      <c r="A1036" s="42"/>
      <c r="B1036" s="43" t="s">
        <v>608</v>
      </c>
      <c r="C1036" s="44" t="s">
        <v>45</v>
      </c>
      <c r="D1036" s="47" t="s">
        <v>64</v>
      </c>
      <c r="E1036" s="46" t="s">
        <v>47</v>
      </c>
      <c r="F1036" s="47">
        <v>1.2</v>
      </c>
      <c r="G1036" s="46" t="s">
        <v>48</v>
      </c>
      <c r="H1036" s="47">
        <v>0.98</v>
      </c>
      <c r="I1036" s="48">
        <v>11.3</v>
      </c>
      <c r="J1036" s="49">
        <f>ROUND((3700*$T$1),0)*1.05</f>
        <v>3885</v>
      </c>
      <c r="K1036" s="49">
        <f>ROUND((4111*$T$1),0)*1.05</f>
        <v>4316.55</v>
      </c>
      <c r="L1036" s="49">
        <f>ROUND((4185*$T$1),0)*1.05</f>
        <v>4394.25</v>
      </c>
      <c r="M1036" s="49">
        <f>ROUND((4270*$T$1),0)*1.05</f>
        <v>4483.5</v>
      </c>
      <c r="N1036" s="49">
        <f>ROUND((4355*$T$1),0)*1.05</f>
        <v>4572.75</v>
      </c>
      <c r="O1036" s="49">
        <f>ROUND((4407*$T$1),0)*1.05</f>
        <v>4627.3500000000004</v>
      </c>
      <c r="P1036" s="49">
        <f>ROUND((4444*$T$1),0)*1.05</f>
        <v>4666.2</v>
      </c>
      <c r="Q1036" s="49">
        <f>ROUND((4815*$T$1),0)*1.05</f>
        <v>5055.75</v>
      </c>
    </row>
    <row r="1037" spans="1:17" ht="15" customHeight="1" x14ac:dyDescent="0.3">
      <c r="A1037" s="42"/>
      <c r="B1037" s="43" t="s">
        <v>609</v>
      </c>
      <c r="C1037" s="44" t="s">
        <v>45</v>
      </c>
      <c r="D1037" s="47">
        <v>1</v>
      </c>
      <c r="E1037" s="46" t="s">
        <v>47</v>
      </c>
      <c r="F1037" s="47">
        <v>1.2</v>
      </c>
      <c r="G1037" s="46" t="s">
        <v>48</v>
      </c>
      <c r="H1037" s="47">
        <v>0.98</v>
      </c>
      <c r="I1037" s="48">
        <v>11.3</v>
      </c>
      <c r="J1037" s="49">
        <f>ROUND((3719*$T$1),0)*1.05</f>
        <v>3904.9500000000003</v>
      </c>
      <c r="K1037" s="49">
        <f>ROUND((4132*$T$1),0)*1.05</f>
        <v>4338.6000000000004</v>
      </c>
      <c r="L1037" s="49">
        <f>ROUND((4206*$T$1),0)*1.05</f>
        <v>4416.3</v>
      </c>
      <c r="M1037" s="49">
        <f>ROUND((4292*$T$1),0)*1.05</f>
        <v>4506.6000000000004</v>
      </c>
      <c r="N1037" s="49">
        <f>ROUND((4377*$T$1),0)*1.05</f>
        <v>4595.8500000000004</v>
      </c>
      <c r="O1037" s="49">
        <f>ROUND((4429*$T$1),0)*1.05</f>
        <v>4650.45</v>
      </c>
      <c r="P1037" s="49">
        <f>ROUND((4582*$T$1),0)*1.05</f>
        <v>4811.1000000000004</v>
      </c>
      <c r="Q1037" s="49">
        <f>ROUND((4839*$T$1),0)*1.05</f>
        <v>5080.95</v>
      </c>
    </row>
    <row r="1038" spans="1:17" ht="15" customHeight="1" x14ac:dyDescent="0.3">
      <c r="A1038" s="42"/>
      <c r="B1038" s="43" t="s">
        <v>610</v>
      </c>
      <c r="C1038" s="44" t="s">
        <v>45</v>
      </c>
      <c r="D1038" s="47" t="s">
        <v>60</v>
      </c>
      <c r="E1038" s="46" t="s">
        <v>47</v>
      </c>
      <c r="F1038" s="47">
        <v>1.2</v>
      </c>
      <c r="G1038" s="46" t="s">
        <v>48</v>
      </c>
      <c r="H1038" s="47">
        <v>0.98</v>
      </c>
      <c r="I1038" s="48">
        <v>11.3</v>
      </c>
      <c r="J1038" s="49">
        <f>ROUND((3795*$T$1),0)*1.05</f>
        <v>3984.75</v>
      </c>
      <c r="K1038" s="49">
        <f>ROUND((4216*$T$1),0)*1.05</f>
        <v>4426.8</v>
      </c>
      <c r="L1038" s="49">
        <f>ROUND((4292*$T$1),0)*1.05</f>
        <v>4506.6000000000004</v>
      </c>
      <c r="M1038" s="49">
        <f>ROUND((4379*$T$1),0)*1.05</f>
        <v>4597.95</v>
      </c>
      <c r="N1038" s="49">
        <f>ROUND((4467*$T$1),0)*1.05</f>
        <v>4690.3500000000004</v>
      </c>
      <c r="O1038" s="49">
        <f>ROUND((4520*$T$1),0)*1.05</f>
        <v>4746</v>
      </c>
      <c r="P1038" s="49">
        <f>ROUND((4676*$T$1),0)*1.05</f>
        <v>4909.8</v>
      </c>
      <c r="Q1038" s="49">
        <f>ROUND((4938*$T$1),0)*1.05</f>
        <v>5184.9000000000005</v>
      </c>
    </row>
    <row r="1039" spans="1:17" ht="15" customHeight="1" x14ac:dyDescent="0.3">
      <c r="A1039" s="42"/>
      <c r="B1039" s="43" t="s">
        <v>611</v>
      </c>
      <c r="C1039" s="44" t="s">
        <v>45</v>
      </c>
      <c r="D1039" s="47" t="s">
        <v>58</v>
      </c>
      <c r="E1039" s="46" t="s">
        <v>47</v>
      </c>
      <c r="F1039" s="47">
        <v>1.2</v>
      </c>
      <c r="G1039" s="46" t="s">
        <v>48</v>
      </c>
      <c r="H1039" s="47">
        <v>0.98</v>
      </c>
      <c r="I1039" s="48">
        <v>11.5</v>
      </c>
      <c r="J1039" s="49">
        <f>ROUND((3872*$T$1),0)*1.05</f>
        <v>4065.6000000000004</v>
      </c>
      <c r="K1039" s="49">
        <f>ROUND((4302*$T$1),0)*1.05</f>
        <v>4517.1000000000004</v>
      </c>
      <c r="L1039" s="49">
        <f>ROUND((4379*$T$1),0)*1.05</f>
        <v>4597.95</v>
      </c>
      <c r="M1039" s="49">
        <f>ROUND((4469*$T$1),0)*1.05</f>
        <v>4692.45</v>
      </c>
      <c r="N1039" s="49">
        <f>ROUND((4557*$T$1),0)*1.05</f>
        <v>4784.8500000000004</v>
      </c>
      <c r="O1039" s="49">
        <f>ROUND((4612*$T$1),0)*1.05</f>
        <v>4842.6000000000004</v>
      </c>
      <c r="P1039" s="49">
        <f>ROUND((4771*$T$1),0)*1.05</f>
        <v>5009.55</v>
      </c>
      <c r="Q1039" s="49">
        <f>ROUND((5038*$T$1),0)*1.05</f>
        <v>5289.9000000000005</v>
      </c>
    </row>
    <row r="1040" spans="1:17" ht="15" customHeight="1" x14ac:dyDescent="0.3">
      <c r="A1040" s="42"/>
      <c r="B1040" s="43"/>
      <c r="C1040" s="44"/>
      <c r="D1040" s="47"/>
      <c r="E1040" s="46"/>
      <c r="F1040" s="47"/>
      <c r="G1040" s="46"/>
      <c r="H1040" s="47"/>
      <c r="I1040" s="48"/>
      <c r="J1040" s="49"/>
      <c r="K1040" s="49"/>
      <c r="L1040" s="49"/>
      <c r="M1040" s="49"/>
      <c r="N1040" s="49"/>
      <c r="O1040" s="49"/>
      <c r="P1040" s="49"/>
      <c r="Q1040" s="49"/>
    </row>
    <row r="1041" spans="1:17" ht="15" customHeight="1" x14ac:dyDescent="0.3">
      <c r="A1041" s="42"/>
      <c r="B1041" s="43" t="s">
        <v>98</v>
      </c>
      <c r="C1041" s="44" t="s">
        <v>45</v>
      </c>
      <c r="D1041" s="47">
        <v>1.2</v>
      </c>
      <c r="E1041" s="46" t="s">
        <v>47</v>
      </c>
      <c r="F1041" s="47">
        <v>1.2</v>
      </c>
      <c r="G1041" s="46" t="s">
        <v>48</v>
      </c>
      <c r="H1041" s="47">
        <v>0.98</v>
      </c>
      <c r="I1041" s="48">
        <v>11.3</v>
      </c>
      <c r="J1041" s="49">
        <f>ROUND((2257*$T$1),0)*1.05</f>
        <v>2369.85</v>
      </c>
      <c r="K1041" s="49">
        <f>ROUND((2508*$T$1),0)*1.05</f>
        <v>2633.4</v>
      </c>
      <c r="L1041" s="49">
        <f>ROUND((2548*$T$1),0)*1.05</f>
        <v>2675.4</v>
      </c>
      <c r="M1041" s="49">
        <f>ROUND((2596*$T$1),0)*1.05</f>
        <v>2725.8</v>
      </c>
      <c r="N1041" s="49">
        <f>ROUND((2642*$T$1),0)*1.05</f>
        <v>2774.1</v>
      </c>
      <c r="O1041" s="49">
        <f>ROUND((2669*$T$1),0)*1.05</f>
        <v>2802.4500000000003</v>
      </c>
      <c r="P1041" s="49">
        <f>ROUND((2753*$T$1),0)*1.05</f>
        <v>2890.65</v>
      </c>
      <c r="Q1041" s="49">
        <f>ROUND((2892*$T$1),0)*1.05</f>
        <v>3036.6</v>
      </c>
    </row>
    <row r="1042" spans="1:17" ht="15" customHeight="1" x14ac:dyDescent="0.3">
      <c r="A1042" s="42"/>
      <c r="B1042" s="43" t="s">
        <v>612</v>
      </c>
      <c r="C1042" s="44" t="s">
        <v>45</v>
      </c>
      <c r="D1042" s="47">
        <v>1.2</v>
      </c>
      <c r="E1042" s="46" t="s">
        <v>47</v>
      </c>
      <c r="F1042" s="47">
        <v>1.2</v>
      </c>
      <c r="G1042" s="46" t="s">
        <v>48</v>
      </c>
      <c r="H1042" s="47">
        <v>0.98</v>
      </c>
      <c r="I1042" s="48">
        <v>11.3</v>
      </c>
      <c r="J1042" s="49">
        <f>ROUND((3834*$T$1),0)*1.05</f>
        <v>4025.7000000000003</v>
      </c>
      <c r="K1042" s="49">
        <f>ROUND((4260*$T$1),0)*1.05</f>
        <v>4473</v>
      </c>
      <c r="L1042" s="49">
        <f>ROUND((4337*$T$1),0)*1.05</f>
        <v>4553.8500000000004</v>
      </c>
      <c r="M1042" s="49">
        <f>ROUND((4424*$T$1),0)*1.05</f>
        <v>4645.2</v>
      </c>
      <c r="N1042" s="49">
        <f>ROUND((4490*$T$1),0)*1.05</f>
        <v>4714.5</v>
      </c>
      <c r="O1042" s="49">
        <f>ROUND((4566*$T$1),0)*1.05</f>
        <v>4794.3</v>
      </c>
      <c r="P1042" s="49">
        <f>ROUND((4724*$T$1),0)*1.05</f>
        <v>4960.2</v>
      </c>
      <c r="Q1042" s="49">
        <f>ROUND((4989*$T$1),0)*1.05</f>
        <v>5238.45</v>
      </c>
    </row>
    <row r="1043" spans="1:17" ht="15" customHeight="1" x14ac:dyDescent="0.3">
      <c r="A1043" s="42"/>
      <c r="B1043" s="43" t="s">
        <v>613</v>
      </c>
      <c r="C1043" s="44" t="s">
        <v>45</v>
      </c>
      <c r="D1043" s="47">
        <v>1.4</v>
      </c>
      <c r="E1043" s="46" t="s">
        <v>47</v>
      </c>
      <c r="F1043" s="47">
        <v>1.75</v>
      </c>
      <c r="G1043" s="46" t="s">
        <v>48</v>
      </c>
      <c r="H1043" s="47">
        <v>0.98</v>
      </c>
      <c r="I1043" s="48">
        <v>11.5</v>
      </c>
      <c r="J1043" s="49">
        <f>ROUND((4214*$T$1),0)*1.05</f>
        <v>4424.7</v>
      </c>
      <c r="K1043" s="49">
        <f>ROUND((4682*$T$1),0)*1.05</f>
        <v>4916.1000000000004</v>
      </c>
      <c r="L1043" s="49">
        <f>ROUND((4764*$T$1),0)*1.05</f>
        <v>5002.2</v>
      </c>
      <c r="M1043" s="49">
        <f>ROUND((4860*$T$1),0)*1.05</f>
        <v>5103</v>
      </c>
      <c r="N1043" s="49">
        <f>ROUND((4955*$T$1),0)*1.05</f>
        <v>5202.75</v>
      </c>
      <c r="O1043" s="49">
        <f>ROUND((5013*$T$1),0)*1.05</f>
        <v>5263.6500000000005</v>
      </c>
      <c r="P1043" s="49">
        <f>ROUND((5185*$T$1),0)*1.05</f>
        <v>5444.25</v>
      </c>
      <c r="Q1043" s="49">
        <f>ROUND((5472*$T$1),0)*1.05</f>
        <v>5745.6</v>
      </c>
    </row>
    <row r="1044" spans="1:17" ht="15" customHeight="1" x14ac:dyDescent="0.3">
      <c r="A1044" s="42"/>
      <c r="B1044" s="43" t="s">
        <v>614</v>
      </c>
      <c r="C1044" s="44" t="s">
        <v>45</v>
      </c>
      <c r="D1044" s="47">
        <v>1.2</v>
      </c>
      <c r="E1044" s="46" t="s">
        <v>47</v>
      </c>
      <c r="F1044" s="47">
        <v>1.75</v>
      </c>
      <c r="G1044" s="46" t="s">
        <v>48</v>
      </c>
      <c r="H1044" s="47">
        <v>0.98</v>
      </c>
      <c r="I1044" s="48">
        <v>11</v>
      </c>
      <c r="J1044" s="49">
        <f>ROUND((4003*$T$1),0)*1.05</f>
        <v>4203.1500000000005</v>
      </c>
      <c r="K1044" s="49">
        <f>ROUND((4447*$T$1),0)*1.05</f>
        <v>4669.3500000000004</v>
      </c>
      <c r="L1044" s="49">
        <f>ROUND((4526*$T$1),0)*1.05</f>
        <v>4752.3</v>
      </c>
      <c r="M1044" s="49">
        <f>ROUND((4424*$T$1),0)*1.05</f>
        <v>4645.2</v>
      </c>
      <c r="N1044" s="49">
        <f>ROUND((4708*$T$1),0)*1.05</f>
        <v>4943.4000000000005</v>
      </c>
      <c r="O1044" s="49">
        <f>ROUND((4762*$T$1),0)*1.05</f>
        <v>5000.1000000000004</v>
      </c>
      <c r="P1044" s="49">
        <f>ROUND((4927*$T$1),0)*1.05</f>
        <v>5173.3500000000004</v>
      </c>
      <c r="Q1044" s="49">
        <f>ROUND((5198*$T$1),0)*1.05</f>
        <v>5457.9000000000005</v>
      </c>
    </row>
    <row r="1045" spans="1:17" ht="15" customHeight="1" x14ac:dyDescent="0.3">
      <c r="A1045" s="42"/>
      <c r="B1045" s="43"/>
      <c r="C1045" s="44"/>
      <c r="D1045" s="47"/>
      <c r="E1045" s="46"/>
      <c r="F1045" s="47"/>
      <c r="G1045" s="46"/>
      <c r="H1045" s="47"/>
      <c r="I1045" s="48"/>
      <c r="J1045" s="49"/>
      <c r="K1045" s="49"/>
      <c r="L1045" s="49"/>
      <c r="M1045" s="49"/>
      <c r="N1045" s="49"/>
      <c r="O1045" s="49"/>
      <c r="P1045" s="49"/>
      <c r="Q1045" s="49"/>
    </row>
    <row r="1046" spans="1:17" ht="15" customHeight="1" x14ac:dyDescent="0.3">
      <c r="A1046" s="42"/>
      <c r="B1046" s="95" t="s">
        <v>400</v>
      </c>
      <c r="C1046" s="44"/>
      <c r="D1046" s="47"/>
      <c r="E1046" s="46"/>
      <c r="F1046" s="47"/>
      <c r="G1046" s="46"/>
      <c r="H1046" s="47"/>
      <c r="I1046" s="48"/>
      <c r="J1046" s="49"/>
      <c r="K1046" s="49"/>
      <c r="L1046" s="49"/>
      <c r="M1046" s="87" t="s">
        <v>134</v>
      </c>
      <c r="N1046" s="49"/>
      <c r="O1046" s="49"/>
      <c r="P1046" s="49"/>
      <c r="Q1046" s="49"/>
    </row>
    <row r="1047" spans="1:17" ht="15" customHeight="1" x14ac:dyDescent="0.3">
      <c r="A1047" s="42"/>
      <c r="B1047" s="43"/>
      <c r="C1047" s="44"/>
      <c r="D1047" s="47"/>
      <c r="E1047" s="46"/>
      <c r="F1047" s="47"/>
      <c r="G1047" s="46"/>
      <c r="H1047" s="47"/>
      <c r="I1047" s="57"/>
      <c r="J1047" s="58"/>
      <c r="K1047" s="58"/>
      <c r="L1047" s="58"/>
      <c r="M1047" s="58"/>
      <c r="N1047" s="58"/>
      <c r="O1047" s="58"/>
      <c r="P1047" s="58"/>
      <c r="Q1047" s="58"/>
    </row>
    <row r="1048" spans="1:17" ht="15" customHeight="1" x14ac:dyDescent="0.3">
      <c r="A1048" s="42"/>
      <c r="B1048" s="60" t="s">
        <v>401</v>
      </c>
      <c r="C1048" s="59"/>
      <c r="D1048" s="59" t="s">
        <v>615</v>
      </c>
      <c r="E1048" s="59"/>
      <c r="F1048" s="59"/>
      <c r="G1048" s="59"/>
      <c r="H1048" s="59"/>
      <c r="I1048" s="61"/>
      <c r="J1048" s="62"/>
      <c r="K1048" s="62"/>
      <c r="L1048" s="62"/>
      <c r="M1048" s="62"/>
      <c r="N1048" s="62"/>
      <c r="O1048" s="62"/>
      <c r="P1048" s="62"/>
      <c r="Q1048" s="62"/>
    </row>
    <row r="1049" spans="1:17" ht="15" customHeight="1" x14ac:dyDescent="0.3">
      <c r="A1049" s="67"/>
      <c r="B1049" s="80"/>
      <c r="C1049" s="150"/>
      <c r="D1049" s="151"/>
      <c r="E1049" s="71"/>
      <c r="F1049" s="72"/>
      <c r="G1049" s="73"/>
      <c r="H1049" s="72"/>
      <c r="I1049" s="74"/>
      <c r="J1049" s="75"/>
      <c r="K1049" s="75"/>
      <c r="L1049" s="75"/>
      <c r="M1049" s="75"/>
      <c r="N1049" s="75"/>
      <c r="O1049" s="75"/>
      <c r="P1049" s="75"/>
      <c r="Q1049" s="75"/>
    </row>
    <row r="1050" spans="1:17" ht="29.1" customHeight="1" x14ac:dyDescent="0.25">
      <c r="A1050" s="192" t="s">
        <v>616</v>
      </c>
      <c r="B1050" s="192"/>
      <c r="C1050" s="187" t="s">
        <v>41</v>
      </c>
      <c r="D1050" s="187"/>
      <c r="E1050" s="187"/>
      <c r="F1050" s="187"/>
      <c r="G1050" s="187"/>
      <c r="H1050" s="187"/>
      <c r="I1050" s="149" t="s">
        <v>42</v>
      </c>
      <c r="J1050" s="41" t="s">
        <v>43</v>
      </c>
      <c r="K1050" s="41">
        <v>1000</v>
      </c>
      <c r="L1050" s="41">
        <v>2000</v>
      </c>
      <c r="M1050" s="41">
        <v>3000</v>
      </c>
      <c r="N1050" s="41">
        <v>4000</v>
      </c>
      <c r="O1050" s="41">
        <v>5000</v>
      </c>
      <c r="P1050" s="41">
        <v>6000</v>
      </c>
      <c r="Q1050" s="41">
        <v>7000</v>
      </c>
    </row>
    <row r="1051" spans="1:17" ht="15" customHeight="1" x14ac:dyDescent="0.3">
      <c r="A1051" s="42"/>
      <c r="B1051" s="44" t="s">
        <v>617</v>
      </c>
      <c r="C1051" s="44" t="s">
        <v>45</v>
      </c>
      <c r="D1051" s="47">
        <v>1.45</v>
      </c>
      <c r="E1051" s="46" t="s">
        <v>47</v>
      </c>
      <c r="F1051" s="47">
        <v>1.3</v>
      </c>
      <c r="G1051" s="46" t="s">
        <v>48</v>
      </c>
      <c r="H1051" s="57">
        <v>0.9</v>
      </c>
      <c r="I1051" s="48">
        <v>11</v>
      </c>
      <c r="J1051" s="49">
        <f>ROUND((3811*$T$1),0)*1.05</f>
        <v>4001.55</v>
      </c>
      <c r="K1051" s="49">
        <f>ROUND((4234*$T$1),0)*1.05</f>
        <v>4445.7</v>
      </c>
      <c r="L1051" s="49">
        <f>ROUND((4302*$T$1),0)*1.05</f>
        <v>4517.1000000000004</v>
      </c>
      <c r="M1051" s="49">
        <f>ROUND((4380*$T$1),0)*1.05</f>
        <v>4599</v>
      </c>
      <c r="N1051" s="49">
        <f>ROUND((4460*$T$1),0)*1.05</f>
        <v>4683</v>
      </c>
      <c r="O1051" s="49">
        <f>ROUND((4507*$T$1),0)*1.05</f>
        <v>4732.3500000000004</v>
      </c>
      <c r="P1051" s="49">
        <f>ROUND((4468*$T$1),0)*1.05</f>
        <v>4691.4000000000005</v>
      </c>
      <c r="Q1051" s="49">
        <f>ROUND((4884*$T$1),0)*1.05</f>
        <v>5128.2</v>
      </c>
    </row>
    <row r="1052" spans="1:17" ht="15" customHeight="1" x14ac:dyDescent="0.3">
      <c r="A1052" s="42"/>
      <c r="B1052" s="44" t="s">
        <v>618</v>
      </c>
      <c r="C1052" s="44" t="s">
        <v>45</v>
      </c>
      <c r="D1052" s="47">
        <v>1.35</v>
      </c>
      <c r="E1052" s="46" t="s">
        <v>47</v>
      </c>
      <c r="F1052" s="47">
        <v>1.3</v>
      </c>
      <c r="G1052" s="46" t="s">
        <v>48</v>
      </c>
      <c r="H1052" s="57">
        <v>0.9</v>
      </c>
      <c r="I1052" s="48">
        <v>10.5</v>
      </c>
      <c r="J1052" s="49">
        <f>ROUND((3620*$T$1),0)*1.05</f>
        <v>3801</v>
      </c>
      <c r="K1052" s="49">
        <f>ROUND((4023*$T$1),0)*1.05</f>
        <v>4224.1500000000005</v>
      </c>
      <c r="L1052" s="49">
        <f>ROUND((4087*$T$1),0)*1.05</f>
        <v>4291.3500000000004</v>
      </c>
      <c r="M1052" s="49">
        <f>ROUND((4162*$T$1),0)*1.05</f>
        <v>4370.1000000000004</v>
      </c>
      <c r="N1052" s="49">
        <f>ROUND((4237*$T$1),0)*1.05</f>
        <v>4448.8500000000004</v>
      </c>
      <c r="O1052" s="49">
        <f>ROUND((4281*$T$1),0)*1.05</f>
        <v>4495.05</v>
      </c>
      <c r="P1052" s="49">
        <f>ROUND((4416*$T$1),0)*1.05</f>
        <v>4636.8</v>
      </c>
      <c r="Q1052" s="49">
        <f>ROUND((4640*$T$1),0)*1.05</f>
        <v>4872</v>
      </c>
    </row>
    <row r="1053" spans="1:17" ht="15" customHeight="1" x14ac:dyDescent="0.3">
      <c r="A1053" s="42"/>
      <c r="B1053" s="44" t="s">
        <v>619</v>
      </c>
      <c r="C1053" s="44" t="s">
        <v>45</v>
      </c>
      <c r="D1053" s="47">
        <v>1.25</v>
      </c>
      <c r="E1053" s="46" t="s">
        <v>47</v>
      </c>
      <c r="F1053" s="47">
        <v>1.3</v>
      </c>
      <c r="G1053" s="46" t="s">
        <v>48</v>
      </c>
      <c r="H1053" s="57">
        <v>0.9</v>
      </c>
      <c r="I1053" s="48">
        <v>10</v>
      </c>
      <c r="J1053" s="49">
        <f>ROUND((3440*$T$1),0)*1.05</f>
        <v>3612</v>
      </c>
      <c r="K1053" s="49">
        <f>ROUND((3821*$T$1),0)*1.05</f>
        <v>4012.05</v>
      </c>
      <c r="L1053" s="49">
        <f>ROUND((3882*$T$1),0)*1.05</f>
        <v>4076.1000000000004</v>
      </c>
      <c r="M1053" s="49">
        <f>ROUND((3954*$T$1),0)*1.05</f>
        <v>4151.7</v>
      </c>
      <c r="N1053" s="49">
        <f>ROUND((4025*$T$1),0)*1.05</f>
        <v>4226.25</v>
      </c>
      <c r="O1053" s="49">
        <f>ROUND((4068*$T$1),0)*1.05</f>
        <v>4271.4000000000005</v>
      </c>
      <c r="P1053" s="49">
        <f>ROUND((4195*$T$1),0)*1.05</f>
        <v>4404.75</v>
      </c>
      <c r="Q1053" s="49">
        <f>ROUND((4408*$T$1),0)*1.05</f>
        <v>4628.4000000000005</v>
      </c>
    </row>
    <row r="1054" spans="1:17" ht="15" customHeight="1" x14ac:dyDescent="0.3">
      <c r="A1054" s="42"/>
      <c r="B1054" s="44" t="s">
        <v>620</v>
      </c>
      <c r="C1054" s="44" t="s">
        <v>45</v>
      </c>
      <c r="D1054" s="47">
        <v>1.1499999999999999</v>
      </c>
      <c r="E1054" s="46" t="s">
        <v>47</v>
      </c>
      <c r="F1054" s="47">
        <v>1.3</v>
      </c>
      <c r="G1054" s="46" t="s">
        <v>48</v>
      </c>
      <c r="H1054" s="57">
        <v>0.9</v>
      </c>
      <c r="I1054" s="48">
        <v>9.5</v>
      </c>
      <c r="J1054" s="49">
        <f>ROUND((3267*$T$1),0)*1.05</f>
        <v>3430.3500000000004</v>
      </c>
      <c r="K1054" s="49">
        <f>ROUND((3631*$T$1),0)*1.05</f>
        <v>3812.55</v>
      </c>
      <c r="L1054" s="49">
        <f>ROUND((3688*$T$1),0)*1.05</f>
        <v>3872.4</v>
      </c>
      <c r="M1054" s="49">
        <f>ROUND((3756*$T$1),0)*1.05</f>
        <v>3943.8</v>
      </c>
      <c r="N1054" s="49">
        <f>ROUND((3824*$T$1),0)*1.05</f>
        <v>4015.2000000000003</v>
      </c>
      <c r="O1054" s="49">
        <f>ROUND((3867*$T$1),0)*1.05</f>
        <v>4060.3500000000004</v>
      </c>
      <c r="P1054" s="49">
        <f>ROUND((3986*$T$1),0)*1.05</f>
        <v>4185.3</v>
      </c>
      <c r="Q1054" s="49">
        <f>ROUND((4187*$T$1),0)*1.05</f>
        <v>4396.3500000000004</v>
      </c>
    </row>
    <row r="1055" spans="1:17" ht="15" customHeight="1" x14ac:dyDescent="0.3">
      <c r="A1055" s="42"/>
      <c r="B1055" s="44"/>
      <c r="C1055" s="44"/>
      <c r="D1055" s="47"/>
      <c r="E1055" s="46"/>
      <c r="F1055" s="47"/>
      <c r="G1055" s="46"/>
      <c r="H1055" s="57"/>
      <c r="I1055" s="48"/>
      <c r="J1055" s="49"/>
      <c r="K1055" s="49"/>
      <c r="L1055" s="49"/>
      <c r="M1055" s="49"/>
      <c r="N1055" s="49"/>
      <c r="O1055" s="49"/>
      <c r="P1055" s="49"/>
      <c r="Q1055" s="49"/>
    </row>
    <row r="1056" spans="1:17" ht="15" customHeight="1" x14ac:dyDescent="0.3">
      <c r="A1056" s="93"/>
      <c r="B1056" s="44" t="s">
        <v>599</v>
      </c>
      <c r="C1056" s="44" t="s">
        <v>45</v>
      </c>
      <c r="D1056" s="47">
        <v>1.2</v>
      </c>
      <c r="E1056" s="46" t="s">
        <v>47</v>
      </c>
      <c r="F1056" s="47">
        <v>1.3</v>
      </c>
      <c r="G1056" s="46" t="s">
        <v>48</v>
      </c>
      <c r="H1056" s="57">
        <v>0.9</v>
      </c>
      <c r="I1056" s="48">
        <v>9</v>
      </c>
      <c r="J1056" s="49">
        <f>ROUND((3704*$T$1),0)*1.05</f>
        <v>3889.2000000000003</v>
      </c>
      <c r="K1056" s="49">
        <f>ROUND((4116*$T$1),0)*1.05</f>
        <v>4321.8</v>
      </c>
      <c r="L1056" s="49">
        <f>ROUND((4173*$T$1),0)*1.05</f>
        <v>4381.6500000000005</v>
      </c>
      <c r="M1056" s="49">
        <f>ROUND((4239*$T$1),0)*1.05</f>
        <v>4450.95</v>
      </c>
      <c r="N1056" s="49">
        <f>ROUND((4304*$T$1),0)*1.05</f>
        <v>4519.2</v>
      </c>
      <c r="O1056" s="49">
        <f>ROUND((4345*$T$1),0)*1.05</f>
        <v>4562.25</v>
      </c>
      <c r="P1056" s="49">
        <f>ROUND((4463*$T$1),0)*1.05</f>
        <v>4686.1500000000005</v>
      </c>
      <c r="Q1056" s="49">
        <f>ROUND((4661*$T$1),0)*1.05</f>
        <v>4894.05</v>
      </c>
    </row>
    <row r="1057" spans="1:17" ht="15" customHeight="1" x14ac:dyDescent="0.3">
      <c r="A1057" s="42"/>
      <c r="B1057" s="44" t="s">
        <v>598</v>
      </c>
      <c r="C1057" s="44" t="s">
        <v>45</v>
      </c>
      <c r="D1057" s="47">
        <v>1.1000000000000001</v>
      </c>
      <c r="E1057" s="46" t="s">
        <v>47</v>
      </c>
      <c r="F1057" s="47">
        <v>1.3</v>
      </c>
      <c r="G1057" s="46" t="s">
        <v>48</v>
      </c>
      <c r="H1057" s="57">
        <v>0.9</v>
      </c>
      <c r="I1057" s="48">
        <v>10.199999999999999</v>
      </c>
      <c r="J1057" s="49">
        <f>ROUND((3512*$T$1),0)*1.05</f>
        <v>3687.6000000000004</v>
      </c>
      <c r="K1057" s="49">
        <f>ROUND((3902*$T$1),0)*1.05</f>
        <v>4097.1000000000004</v>
      </c>
      <c r="L1057" s="49">
        <f>ROUND((3964*$T$1),0)*1.05</f>
        <v>4162.2</v>
      </c>
      <c r="M1057" s="49">
        <f>ROUND((4037*$T$1),0)*1.05</f>
        <v>4238.8500000000004</v>
      </c>
      <c r="N1057" s="49">
        <f>ROUND((4110*$T$1),0)*1.05</f>
        <v>4315.5</v>
      </c>
      <c r="O1057" s="49">
        <f>ROUND((4153*$T$1),0)*1.05</f>
        <v>4360.6500000000005</v>
      </c>
      <c r="P1057" s="49">
        <f>ROUND((4284*$T$1),0)*1.05</f>
        <v>4498.2</v>
      </c>
      <c r="Q1057" s="49">
        <f>ROUND((4501*$T$1),0)*1.05</f>
        <v>4726.05</v>
      </c>
    </row>
    <row r="1058" spans="1:17" ht="15" customHeight="1" x14ac:dyDescent="0.3">
      <c r="A1058" s="42"/>
      <c r="B1058" s="44" t="s">
        <v>597</v>
      </c>
      <c r="C1058" s="44" t="s">
        <v>45</v>
      </c>
      <c r="D1058" s="47">
        <v>1</v>
      </c>
      <c r="E1058" s="46" t="s">
        <v>47</v>
      </c>
      <c r="F1058" s="47">
        <v>1.3</v>
      </c>
      <c r="G1058" s="46" t="s">
        <v>48</v>
      </c>
      <c r="H1058" s="57">
        <v>0.9</v>
      </c>
      <c r="I1058" s="48">
        <v>9.6999999999999993</v>
      </c>
      <c r="J1058" s="49">
        <f>ROUND((3336*$T$1),0)*1.05</f>
        <v>3502.8</v>
      </c>
      <c r="K1058" s="49">
        <f>ROUND((3706*$T$1),0)*1.05</f>
        <v>3891.3</v>
      </c>
      <c r="L1058" s="49">
        <f>ROUND((3766*$T$1),0)*1.05</f>
        <v>3954.3</v>
      </c>
      <c r="M1058" s="49">
        <f>ROUND((3834*$T$1),0)*1.05</f>
        <v>4025.7000000000003</v>
      </c>
      <c r="N1058" s="49">
        <f>ROUND((3904*$T$1),0)*1.05</f>
        <v>4099.2</v>
      </c>
      <c r="O1058" s="49">
        <f>ROUND((3946*$T$1),0)*1.05</f>
        <v>4143.3</v>
      </c>
      <c r="P1058" s="49">
        <f>ROUND((4069*$T$1),0)*1.05</f>
        <v>4272.45</v>
      </c>
      <c r="Q1058" s="49">
        <f>ROUND((4276*$T$1),0)*1.05</f>
        <v>4489.8</v>
      </c>
    </row>
    <row r="1059" spans="1:17" ht="15" customHeight="1" x14ac:dyDescent="0.3">
      <c r="A1059" s="42"/>
      <c r="B1059" s="44" t="s">
        <v>596</v>
      </c>
      <c r="C1059" s="44" t="s">
        <v>45</v>
      </c>
      <c r="D1059" s="47">
        <v>0.9</v>
      </c>
      <c r="E1059" s="46" t="s">
        <v>47</v>
      </c>
      <c r="F1059" s="47">
        <v>1.3</v>
      </c>
      <c r="G1059" s="46" t="s">
        <v>48</v>
      </c>
      <c r="H1059" s="57">
        <v>0.9</v>
      </c>
      <c r="I1059" s="48">
        <v>9.3000000000000007</v>
      </c>
      <c r="J1059" s="49">
        <f>ROUND((3169*$T$1),0)*1.05</f>
        <v>3327.4500000000003</v>
      </c>
      <c r="K1059" s="49">
        <f>ROUND((3521*$T$1),0)*1.05</f>
        <v>3697.05</v>
      </c>
      <c r="L1059" s="49">
        <f>ROUND((3578*$T$1),0)*1.05</f>
        <v>3756.9</v>
      </c>
      <c r="M1059" s="49">
        <f>ROUND((3643*$T$1),0)*1.05</f>
        <v>3825.15</v>
      </c>
      <c r="N1059" s="49">
        <f>ROUND((3709*$T$1),0)*1.05</f>
        <v>3894.4500000000003</v>
      </c>
      <c r="O1059" s="49">
        <f>ROUND((3748*$T$1),0)*1.05</f>
        <v>3935.4</v>
      </c>
      <c r="P1059" s="49">
        <f>ROUND((3866*$T$1),0)*1.05</f>
        <v>4059.3</v>
      </c>
      <c r="Q1059" s="49">
        <f>ROUND((4062*$T$1),0)*1.05</f>
        <v>4265.1000000000004</v>
      </c>
    </row>
    <row r="1060" spans="1:17" ht="15" customHeight="1" x14ac:dyDescent="0.3">
      <c r="A1060" s="42"/>
      <c r="B1060" s="44"/>
      <c r="C1060" s="44"/>
      <c r="D1060" s="47"/>
      <c r="E1060" s="46"/>
      <c r="F1060" s="47"/>
      <c r="G1060" s="46"/>
      <c r="H1060" s="57"/>
      <c r="I1060" s="48"/>
      <c r="J1060" s="49"/>
      <c r="K1060" s="49"/>
      <c r="L1060" s="49"/>
      <c r="M1060" s="49"/>
      <c r="N1060" s="49"/>
      <c r="O1060" s="49"/>
      <c r="P1060" s="49"/>
      <c r="Q1060" s="49"/>
    </row>
    <row r="1061" spans="1:17" ht="15" customHeight="1" x14ac:dyDescent="0.3">
      <c r="A1061" s="42"/>
      <c r="B1061" s="44" t="s">
        <v>184</v>
      </c>
      <c r="C1061" s="44"/>
      <c r="D1061" s="47"/>
      <c r="E1061" s="46"/>
      <c r="F1061" s="47"/>
      <c r="G1061" s="46"/>
      <c r="H1061" s="57"/>
      <c r="I1061" s="48"/>
      <c r="J1061" s="49"/>
      <c r="K1061" s="49">
        <f>ROUND((1734*$T$1),0)*1.05</f>
        <v>1820.7</v>
      </c>
      <c r="L1061" s="49"/>
      <c r="M1061" s="49"/>
      <c r="N1061" s="49"/>
      <c r="O1061" s="49"/>
      <c r="P1061" s="49"/>
      <c r="Q1061" s="49"/>
    </row>
    <row r="1062" spans="1:17" ht="15" customHeight="1" x14ac:dyDescent="0.3">
      <c r="A1062" s="42"/>
      <c r="B1062" s="44" t="s">
        <v>185</v>
      </c>
      <c r="C1062" s="44"/>
      <c r="D1062" s="47"/>
      <c r="E1062" s="46"/>
      <c r="F1062" s="47"/>
      <c r="G1062" s="46"/>
      <c r="H1062" s="57"/>
      <c r="I1062" s="48"/>
      <c r="J1062" s="49"/>
      <c r="K1062" s="49">
        <f>ROUND((2765*$T$1),0)*1.05</f>
        <v>2903.25</v>
      </c>
      <c r="L1062" s="49"/>
      <c r="M1062" s="49"/>
      <c r="N1062" s="49"/>
      <c r="O1062" s="49"/>
      <c r="P1062" s="49"/>
      <c r="Q1062" s="49"/>
    </row>
    <row r="1063" spans="1:17" ht="15" customHeight="1" x14ac:dyDescent="0.3">
      <c r="A1063" s="42"/>
      <c r="B1063" s="44" t="s">
        <v>186</v>
      </c>
      <c r="C1063" s="44"/>
      <c r="D1063" s="47"/>
      <c r="E1063" s="46"/>
      <c r="F1063" s="47"/>
      <c r="G1063" s="46"/>
      <c r="H1063" s="57"/>
      <c r="I1063" s="48"/>
      <c r="J1063" s="49"/>
      <c r="K1063" s="49">
        <f>ROUND((3795*$T$1),0)*1.05</f>
        <v>3984.75</v>
      </c>
      <c r="L1063" s="49"/>
      <c r="M1063" s="49"/>
      <c r="N1063" s="49"/>
      <c r="O1063" s="49"/>
      <c r="P1063" s="49"/>
      <c r="Q1063" s="49"/>
    </row>
    <row r="1064" spans="1:17" ht="15" customHeight="1" x14ac:dyDescent="0.3">
      <c r="A1064" s="42"/>
      <c r="B1064" s="43"/>
      <c r="C1064" s="44"/>
      <c r="D1064" s="47"/>
      <c r="E1064" s="46"/>
      <c r="F1064" s="47"/>
      <c r="G1064" s="46"/>
      <c r="H1064" s="57"/>
      <c r="I1064" s="48"/>
      <c r="J1064" s="49"/>
      <c r="K1064" s="49"/>
      <c r="L1064" s="49"/>
      <c r="M1064" s="49"/>
      <c r="N1064" s="49"/>
      <c r="O1064" s="49"/>
      <c r="P1064" s="49"/>
      <c r="Q1064" s="49"/>
    </row>
    <row r="1065" spans="1:17" ht="15" customHeight="1" x14ac:dyDescent="0.3">
      <c r="A1065" s="42"/>
      <c r="B1065" s="51" t="s">
        <v>187</v>
      </c>
      <c r="C1065" s="44"/>
      <c r="D1065" s="47"/>
      <c r="E1065" s="46"/>
      <c r="F1065" s="47"/>
      <c r="G1065" s="46"/>
      <c r="H1065" s="57"/>
      <c r="I1065" s="48"/>
      <c r="J1065" s="49"/>
      <c r="K1065" s="49">
        <f>ROUND((220*$T$1),0)*1.05</f>
        <v>231</v>
      </c>
      <c r="L1065" s="49"/>
      <c r="M1065" s="49"/>
      <c r="N1065" s="49"/>
      <c r="O1065" s="49"/>
      <c r="P1065" s="49"/>
      <c r="Q1065" s="49"/>
    </row>
    <row r="1066" spans="1:17" ht="15" customHeight="1" x14ac:dyDescent="0.3">
      <c r="A1066" s="42"/>
      <c r="B1066" s="51" t="s">
        <v>188</v>
      </c>
      <c r="C1066" s="44"/>
      <c r="D1066" s="47"/>
      <c r="E1066" s="46"/>
      <c r="F1066" s="47"/>
      <c r="G1066" s="46"/>
      <c r="H1066" s="57"/>
      <c r="I1066" s="48"/>
      <c r="J1066" s="49"/>
      <c r="K1066" s="49">
        <f>ROUND((132*$T$1),0)*1.05</f>
        <v>138.6</v>
      </c>
      <c r="L1066" s="49"/>
      <c r="M1066" s="49"/>
      <c r="N1066" s="49"/>
      <c r="O1066" s="49"/>
      <c r="P1066" s="49"/>
      <c r="Q1066" s="49"/>
    </row>
    <row r="1067" spans="1:17" ht="15" customHeight="1" x14ac:dyDescent="0.3">
      <c r="A1067" s="42"/>
      <c r="B1067" s="51" t="s">
        <v>189</v>
      </c>
      <c r="C1067" s="44"/>
      <c r="D1067" s="47"/>
      <c r="E1067" s="46"/>
      <c r="F1067" s="47"/>
      <c r="G1067" s="46"/>
      <c r="H1067" s="57"/>
      <c r="I1067" s="48"/>
      <c r="J1067" s="49"/>
      <c r="K1067" s="49">
        <f>ROUND((132*$T$1),0)*1.05</f>
        <v>138.6</v>
      </c>
      <c r="L1067" s="49"/>
      <c r="M1067" s="49"/>
      <c r="N1067" s="49"/>
      <c r="O1067" s="49"/>
      <c r="P1067" s="49"/>
      <c r="Q1067" s="49"/>
    </row>
    <row r="1068" spans="1:17" ht="15" customHeight="1" x14ac:dyDescent="0.3">
      <c r="A1068" s="42"/>
      <c r="B1068" s="44"/>
      <c r="C1068" s="44"/>
      <c r="D1068" s="47"/>
      <c r="E1068" s="46"/>
      <c r="F1068" s="47"/>
      <c r="G1068" s="46"/>
      <c r="H1068" s="57"/>
      <c r="I1068" s="48"/>
      <c r="J1068" s="49"/>
      <c r="K1068" s="49"/>
      <c r="L1068" s="49"/>
      <c r="M1068" s="49"/>
      <c r="N1068" s="49"/>
      <c r="O1068" s="49"/>
      <c r="P1068" s="49"/>
      <c r="Q1068" s="49"/>
    </row>
    <row r="1069" spans="1:17" ht="15" customHeight="1" x14ac:dyDescent="0.3">
      <c r="A1069" s="42"/>
      <c r="B1069" s="118" t="s">
        <v>190</v>
      </c>
      <c r="C1069" s="44"/>
      <c r="D1069" s="47"/>
      <c r="E1069" s="46"/>
      <c r="F1069" s="47"/>
      <c r="G1069" s="46"/>
      <c r="H1069" s="47"/>
      <c r="I1069" s="48"/>
      <c r="J1069" s="49"/>
      <c r="K1069" s="49"/>
      <c r="L1069" s="49"/>
      <c r="M1069" s="49"/>
      <c r="N1069" s="49"/>
      <c r="O1069" s="49"/>
      <c r="P1069" s="49"/>
      <c r="Q1069" s="49"/>
    </row>
    <row r="1070" spans="1:17" ht="15" customHeight="1" x14ac:dyDescent="0.3">
      <c r="A1070" s="42"/>
      <c r="B1070" s="44"/>
      <c r="C1070" s="44"/>
      <c r="D1070" s="47"/>
      <c r="E1070" s="46"/>
      <c r="F1070" s="47"/>
      <c r="G1070" s="46"/>
      <c r="H1070" s="57"/>
      <c r="I1070" s="48"/>
      <c r="J1070" s="49"/>
      <c r="K1070" s="49"/>
      <c r="L1070" s="49"/>
      <c r="M1070" s="49"/>
      <c r="N1070" s="49"/>
      <c r="O1070" s="49"/>
      <c r="P1070" s="49"/>
      <c r="Q1070" s="49"/>
    </row>
    <row r="1071" spans="1:17" ht="15" customHeight="1" x14ac:dyDescent="0.3">
      <c r="A1071" s="42"/>
      <c r="B1071" s="44" t="s">
        <v>621</v>
      </c>
      <c r="C1071" s="44" t="s">
        <v>45</v>
      </c>
      <c r="D1071" s="47">
        <v>1.45</v>
      </c>
      <c r="E1071" s="46" t="s">
        <v>47</v>
      </c>
      <c r="F1071" s="47">
        <v>1.3</v>
      </c>
      <c r="G1071" s="46" t="s">
        <v>48</v>
      </c>
      <c r="H1071" s="57">
        <v>0.9</v>
      </c>
      <c r="I1071" s="48">
        <v>11</v>
      </c>
      <c r="J1071" s="49">
        <f>ROUND((3811*$T$1),0)*1.05</f>
        <v>4001.55</v>
      </c>
      <c r="K1071" s="49">
        <f>ROUND((4234*$T$1),0)*1.05</f>
        <v>4445.7</v>
      </c>
      <c r="L1071" s="49">
        <f>ROUND((4302*$T$1),0)*1.05</f>
        <v>4517.1000000000004</v>
      </c>
      <c r="M1071" s="49">
        <f>ROUND((4380*$T$1),0)*1.05</f>
        <v>4599</v>
      </c>
      <c r="N1071" s="49">
        <f>ROUND((4460*$T$1),0)*1.05</f>
        <v>4683</v>
      </c>
      <c r="O1071" s="49">
        <f>ROUND((4507*$T$1),0)*1.05</f>
        <v>4732.3500000000004</v>
      </c>
      <c r="P1071" s="49">
        <f>ROUND((4468*$T$1),0)*1.05</f>
        <v>4691.4000000000005</v>
      </c>
      <c r="Q1071" s="49">
        <f>ROUND((4884*$T$1),0)*1.05</f>
        <v>5128.2</v>
      </c>
    </row>
    <row r="1072" spans="1:17" ht="15" customHeight="1" x14ac:dyDescent="0.3">
      <c r="A1072" s="42"/>
      <c r="B1072" s="44" t="s">
        <v>622</v>
      </c>
      <c r="C1072" s="44" t="s">
        <v>45</v>
      </c>
      <c r="D1072" s="47">
        <v>1.35</v>
      </c>
      <c r="E1072" s="46" t="s">
        <v>47</v>
      </c>
      <c r="F1072" s="47">
        <v>1.3</v>
      </c>
      <c r="G1072" s="46" t="s">
        <v>48</v>
      </c>
      <c r="H1072" s="57">
        <v>0.9</v>
      </c>
      <c r="I1072" s="48">
        <v>10.5</v>
      </c>
      <c r="J1072" s="49">
        <f>ROUND((3620*$T$1),0)*1.05</f>
        <v>3801</v>
      </c>
      <c r="K1072" s="49">
        <f>ROUND((4023*$T$1),0)*1.05</f>
        <v>4224.1500000000005</v>
      </c>
      <c r="L1072" s="49">
        <f>ROUND((4087*$T$1),0)*1.05</f>
        <v>4291.3500000000004</v>
      </c>
      <c r="M1072" s="49">
        <f>ROUND((4162*$T$1),0)*1.05</f>
        <v>4370.1000000000004</v>
      </c>
      <c r="N1072" s="49">
        <f>ROUND((4237*$T$1),0)*1.05</f>
        <v>4448.8500000000004</v>
      </c>
      <c r="O1072" s="49">
        <f>ROUND((4281*$T$1),0)*1.05</f>
        <v>4495.05</v>
      </c>
      <c r="P1072" s="49">
        <f>ROUND((4416*$T$1),0)*1.05</f>
        <v>4636.8</v>
      </c>
      <c r="Q1072" s="49">
        <f>ROUND((4640*$T$1),0)*1.05</f>
        <v>4872</v>
      </c>
    </row>
    <row r="1073" spans="1:17" ht="15" customHeight="1" x14ac:dyDescent="0.3">
      <c r="A1073" s="93"/>
      <c r="B1073" s="44" t="s">
        <v>623</v>
      </c>
      <c r="C1073" s="44" t="s">
        <v>45</v>
      </c>
      <c r="D1073" s="47">
        <v>1.25</v>
      </c>
      <c r="E1073" s="46" t="s">
        <v>47</v>
      </c>
      <c r="F1073" s="47">
        <v>1.3</v>
      </c>
      <c r="G1073" s="46" t="s">
        <v>48</v>
      </c>
      <c r="H1073" s="57">
        <v>0.9</v>
      </c>
      <c r="I1073" s="48">
        <v>10</v>
      </c>
      <c r="J1073" s="49">
        <f>ROUND((3440*$T$1),0)*1.05</f>
        <v>3612</v>
      </c>
      <c r="K1073" s="49">
        <f>ROUND((3821*$T$1),0)*1.05</f>
        <v>4012.05</v>
      </c>
      <c r="L1073" s="49">
        <f>ROUND((3882*$T$1),0)*1.05</f>
        <v>4076.1000000000004</v>
      </c>
      <c r="M1073" s="49">
        <f>ROUND((3954*$T$1),0)*1.05</f>
        <v>4151.7</v>
      </c>
      <c r="N1073" s="49">
        <f>ROUND((4025*$T$1),0)*1.05</f>
        <v>4226.25</v>
      </c>
      <c r="O1073" s="49">
        <f>ROUND((4068*$T$1),0)*1.05</f>
        <v>4271.4000000000005</v>
      </c>
      <c r="P1073" s="49">
        <f>ROUND((4195*$T$1),0)*1.05</f>
        <v>4404.75</v>
      </c>
      <c r="Q1073" s="49">
        <f>ROUND((4408*$T$1),0)*1.05</f>
        <v>4628.4000000000005</v>
      </c>
    </row>
    <row r="1074" spans="1:17" ht="15" customHeight="1" x14ac:dyDescent="0.3">
      <c r="A1074" s="93"/>
      <c r="B1074" s="44" t="s">
        <v>624</v>
      </c>
      <c r="C1074" s="44" t="s">
        <v>45</v>
      </c>
      <c r="D1074" s="47">
        <v>1.1499999999999999</v>
      </c>
      <c r="E1074" s="46" t="s">
        <v>47</v>
      </c>
      <c r="F1074" s="47">
        <v>1.3</v>
      </c>
      <c r="G1074" s="46" t="s">
        <v>48</v>
      </c>
      <c r="H1074" s="57">
        <v>0.9</v>
      </c>
      <c r="I1074" s="48">
        <v>9.5</v>
      </c>
      <c r="J1074" s="49">
        <f>ROUND((3267*$T$1),0)*1.05</f>
        <v>3430.3500000000004</v>
      </c>
      <c r="K1074" s="49">
        <f>ROUND((3631*$T$1),0)*1.05</f>
        <v>3812.55</v>
      </c>
      <c r="L1074" s="49">
        <f>ROUND((3688*$T$1),0)*1.05</f>
        <v>3872.4</v>
      </c>
      <c r="M1074" s="49">
        <f>ROUND((3756*$T$1),0)*1.05</f>
        <v>3943.8</v>
      </c>
      <c r="N1074" s="49">
        <f>ROUND((3824*$T$1),0)*1.05</f>
        <v>4015.2000000000003</v>
      </c>
      <c r="O1074" s="49">
        <f>ROUND((3867*$T$1),0)*1.05</f>
        <v>4060.3500000000004</v>
      </c>
      <c r="P1074" s="49">
        <f>ROUND((3986*$T$1),0)*1.05</f>
        <v>4185.3</v>
      </c>
      <c r="Q1074" s="49">
        <f>ROUND((4187*$T$1),0)*1.05</f>
        <v>4396.3500000000004</v>
      </c>
    </row>
    <row r="1075" spans="1:17" ht="15" customHeight="1" x14ac:dyDescent="0.3">
      <c r="A1075" s="42"/>
      <c r="B1075" s="44"/>
      <c r="C1075" s="44"/>
      <c r="D1075" s="47"/>
      <c r="E1075" s="46"/>
      <c r="F1075" s="47"/>
      <c r="G1075" s="46"/>
      <c r="H1075" s="57"/>
      <c r="I1075" s="48"/>
      <c r="J1075" s="49"/>
      <c r="K1075" s="49"/>
      <c r="L1075" s="49"/>
      <c r="M1075" s="49"/>
      <c r="N1075" s="49"/>
      <c r="O1075" s="49"/>
      <c r="P1075" s="49"/>
      <c r="Q1075" s="49"/>
    </row>
    <row r="1076" spans="1:17" ht="15" customHeight="1" x14ac:dyDescent="0.3">
      <c r="A1076" s="42"/>
      <c r="B1076" s="44" t="s">
        <v>625</v>
      </c>
      <c r="C1076" s="44" t="s">
        <v>45</v>
      </c>
      <c r="D1076" s="47">
        <v>1.2</v>
      </c>
      <c r="E1076" s="46" t="s">
        <v>47</v>
      </c>
      <c r="F1076" s="47">
        <v>1.3</v>
      </c>
      <c r="G1076" s="46" t="s">
        <v>48</v>
      </c>
      <c r="H1076" s="57">
        <v>0.9</v>
      </c>
      <c r="I1076" s="48">
        <v>9</v>
      </c>
      <c r="J1076" s="49">
        <f>ROUND((3704*$T$1),0)*1.05</f>
        <v>3889.2000000000003</v>
      </c>
      <c r="K1076" s="49">
        <f>ROUND((4116*$T$1),0)*1.05</f>
        <v>4321.8</v>
      </c>
      <c r="L1076" s="49">
        <f>ROUND((4173*$T$1),0)*1.05</f>
        <v>4381.6500000000005</v>
      </c>
      <c r="M1076" s="49">
        <f>ROUND((4239*$T$1),0)*1.05</f>
        <v>4450.95</v>
      </c>
      <c r="N1076" s="49">
        <f>ROUND((4304*$T$1),0)*1.05</f>
        <v>4519.2</v>
      </c>
      <c r="O1076" s="49">
        <f>ROUND((4345*$T$1),0)*1.05</f>
        <v>4562.25</v>
      </c>
      <c r="P1076" s="49">
        <f>ROUND((4463*$T$1),0)*1.05</f>
        <v>4686.1500000000005</v>
      </c>
      <c r="Q1076" s="49">
        <f>ROUND((4661*$T$1),0)*1.05</f>
        <v>4894.05</v>
      </c>
    </row>
    <row r="1077" spans="1:17" ht="15" customHeight="1" x14ac:dyDescent="0.3">
      <c r="A1077" s="42"/>
      <c r="B1077" s="44" t="s">
        <v>626</v>
      </c>
      <c r="C1077" s="44" t="s">
        <v>45</v>
      </c>
      <c r="D1077" s="47">
        <v>1.1000000000000001</v>
      </c>
      <c r="E1077" s="46" t="s">
        <v>47</v>
      </c>
      <c r="F1077" s="47">
        <v>1.3</v>
      </c>
      <c r="G1077" s="46" t="s">
        <v>48</v>
      </c>
      <c r="H1077" s="57">
        <v>0.9</v>
      </c>
      <c r="I1077" s="48">
        <v>10.199999999999999</v>
      </c>
      <c r="J1077" s="49">
        <f>ROUND((3512*$T$1),0)*1.05</f>
        <v>3687.6000000000004</v>
      </c>
      <c r="K1077" s="49">
        <f>ROUND((3902*$T$1),0)*1.05</f>
        <v>4097.1000000000004</v>
      </c>
      <c r="L1077" s="49">
        <f>ROUND((3964*$T$1),0)*1.05</f>
        <v>4162.2</v>
      </c>
      <c r="M1077" s="49">
        <f>ROUND((4037*$T$1),0)*1.05</f>
        <v>4238.8500000000004</v>
      </c>
      <c r="N1077" s="49">
        <f>ROUND((4110*$T$1),0)*1.05</f>
        <v>4315.5</v>
      </c>
      <c r="O1077" s="49">
        <f>ROUND((4153*$T$1),0)*1.05</f>
        <v>4360.6500000000005</v>
      </c>
      <c r="P1077" s="49">
        <f>ROUND((4284*$T$1),0)*1.05</f>
        <v>4498.2</v>
      </c>
      <c r="Q1077" s="49">
        <f>ROUND((4501*$T$1),0)*1.05</f>
        <v>4726.05</v>
      </c>
    </row>
    <row r="1078" spans="1:17" ht="15" customHeight="1" x14ac:dyDescent="0.3">
      <c r="A1078" s="42"/>
      <c r="B1078" s="44" t="s">
        <v>627</v>
      </c>
      <c r="C1078" s="44" t="s">
        <v>45</v>
      </c>
      <c r="D1078" s="47">
        <v>1</v>
      </c>
      <c r="E1078" s="46" t="s">
        <v>47</v>
      </c>
      <c r="F1078" s="47">
        <v>1.3</v>
      </c>
      <c r="G1078" s="46" t="s">
        <v>48</v>
      </c>
      <c r="H1078" s="57">
        <v>0.9</v>
      </c>
      <c r="I1078" s="48">
        <v>9.6999999999999993</v>
      </c>
      <c r="J1078" s="49">
        <f>ROUND((3336*$T$1),0)*1.05</f>
        <v>3502.8</v>
      </c>
      <c r="K1078" s="49">
        <f>ROUND((3706*$T$1),0)*1.05</f>
        <v>3891.3</v>
      </c>
      <c r="L1078" s="49">
        <f>ROUND((3766*$T$1),0)*1.05</f>
        <v>3954.3</v>
      </c>
      <c r="M1078" s="49">
        <f>ROUND((3834*$T$1),0)*1.05</f>
        <v>4025.7000000000003</v>
      </c>
      <c r="N1078" s="49">
        <f>ROUND((3904*$T$1),0)*1.05</f>
        <v>4099.2</v>
      </c>
      <c r="O1078" s="49">
        <f>ROUND((3946*$T$1),0)*1.05</f>
        <v>4143.3</v>
      </c>
      <c r="P1078" s="49">
        <f>ROUND((4069*$T$1),0)*1.05</f>
        <v>4272.45</v>
      </c>
      <c r="Q1078" s="49">
        <f>ROUND((4276*$T$1),0)*1.05</f>
        <v>4489.8</v>
      </c>
    </row>
    <row r="1079" spans="1:17" ht="15" customHeight="1" x14ac:dyDescent="0.3">
      <c r="A1079" s="42"/>
      <c r="B1079" s="44" t="s">
        <v>628</v>
      </c>
      <c r="C1079" s="44" t="s">
        <v>45</v>
      </c>
      <c r="D1079" s="47">
        <v>0.9</v>
      </c>
      <c r="E1079" s="46" t="s">
        <v>47</v>
      </c>
      <c r="F1079" s="47">
        <v>1.3</v>
      </c>
      <c r="G1079" s="46" t="s">
        <v>48</v>
      </c>
      <c r="H1079" s="57">
        <v>0.9</v>
      </c>
      <c r="I1079" s="48">
        <v>9.3000000000000007</v>
      </c>
      <c r="J1079" s="49">
        <f>ROUND((3169*$T$1),0)*1.05</f>
        <v>3327.4500000000003</v>
      </c>
      <c r="K1079" s="49">
        <f>ROUND((3521*$T$1),0)*1.05</f>
        <v>3697.05</v>
      </c>
      <c r="L1079" s="49">
        <f>ROUND((3578*$T$1),0)*1.05</f>
        <v>3756.9</v>
      </c>
      <c r="M1079" s="49">
        <f>ROUND((3643*$T$1),0)*1.05</f>
        <v>3825.15</v>
      </c>
      <c r="N1079" s="49">
        <f>ROUND((3709*$T$1),0)*1.05</f>
        <v>3894.4500000000003</v>
      </c>
      <c r="O1079" s="49">
        <f>ROUND((3748*$T$1),0)*1.05</f>
        <v>3935.4</v>
      </c>
      <c r="P1079" s="49">
        <f>ROUND((3866*$T$1),0)*1.05</f>
        <v>4059.3</v>
      </c>
      <c r="Q1079" s="49">
        <f>ROUND((4062*$T$1),0)*1.05</f>
        <v>4265.1000000000004</v>
      </c>
    </row>
    <row r="1080" spans="1:17" ht="15" customHeight="1" x14ac:dyDescent="0.3">
      <c r="A1080" s="42"/>
      <c r="B1080" s="44"/>
      <c r="C1080" s="44"/>
      <c r="D1080" s="47"/>
      <c r="E1080" s="46"/>
      <c r="F1080" s="47"/>
      <c r="G1080" s="46"/>
      <c r="H1080" s="57"/>
      <c r="I1080" s="48"/>
      <c r="J1080" s="49"/>
      <c r="K1080" s="49"/>
      <c r="L1080" s="49"/>
      <c r="M1080" s="49"/>
      <c r="N1080" s="49"/>
      <c r="O1080" s="49"/>
      <c r="P1080" s="49"/>
      <c r="Q1080" s="49"/>
    </row>
    <row r="1081" spans="1:17" ht="15" customHeight="1" x14ac:dyDescent="0.3">
      <c r="A1081" s="42"/>
      <c r="B1081" s="44" t="s">
        <v>98</v>
      </c>
      <c r="C1081" s="44" t="s">
        <v>45</v>
      </c>
      <c r="D1081" s="47" t="s">
        <v>629</v>
      </c>
      <c r="E1081" s="46" t="s">
        <v>47</v>
      </c>
      <c r="F1081" s="47">
        <v>1.25</v>
      </c>
      <c r="G1081" s="46" t="s">
        <v>48</v>
      </c>
      <c r="H1081" s="57">
        <v>0.45</v>
      </c>
      <c r="I1081" s="48">
        <v>5</v>
      </c>
      <c r="J1081" s="49">
        <f>ROUND((2000*$T$1),0)*1.05</f>
        <v>2100</v>
      </c>
      <c r="K1081" s="49">
        <f>ROUND((2222*$T$1),0)*1.05</f>
        <v>2333.1</v>
      </c>
      <c r="L1081" s="49">
        <f>ROUND((2253*$T$1),0)*1.05</f>
        <v>2365.65</v>
      </c>
      <c r="M1081" s="49">
        <f>ROUND((2287*$T$1),0)*1.05</f>
        <v>2401.35</v>
      </c>
      <c r="N1081" s="49">
        <f>ROUND((2302*$T$1),0)*1.05</f>
        <v>2417.1</v>
      </c>
      <c r="O1081" s="49">
        <f>ROUND((2344*$T$1),0)*1.05</f>
        <v>2461.2000000000003</v>
      </c>
      <c r="P1081" s="49">
        <f>ROUND((2407*$T$1),0)*1.05</f>
        <v>2527.35</v>
      </c>
      <c r="Q1081" s="49">
        <f>ROUND((2513*$T$1),0)*1.05</f>
        <v>2638.65</v>
      </c>
    </row>
    <row r="1082" spans="1:17" ht="15" customHeight="1" x14ac:dyDescent="0.3">
      <c r="A1082" s="42"/>
      <c r="B1082" s="44" t="s">
        <v>630</v>
      </c>
      <c r="C1082" s="44" t="s">
        <v>45</v>
      </c>
      <c r="D1082" s="47" t="s">
        <v>83</v>
      </c>
      <c r="E1082" s="46" t="s">
        <v>47</v>
      </c>
      <c r="F1082" s="47">
        <v>1.3</v>
      </c>
      <c r="G1082" s="46" t="s">
        <v>48</v>
      </c>
      <c r="H1082" s="57">
        <v>0.9</v>
      </c>
      <c r="I1082" s="48">
        <v>10.5</v>
      </c>
      <c r="J1082" s="49">
        <f>ROUND((3704*$T$1),0)*1.05</f>
        <v>3889.2000000000003</v>
      </c>
      <c r="K1082" s="49">
        <f>ROUND((4116*$T$1),0)*1.05</f>
        <v>4321.8</v>
      </c>
      <c r="L1082" s="49">
        <f>ROUND((4173*$T$1),0)*1.05</f>
        <v>4381.6500000000005</v>
      </c>
      <c r="M1082" s="49">
        <f>ROUND((4239*$T$1),0)*1.05</f>
        <v>4450.95</v>
      </c>
      <c r="N1082" s="49">
        <f>ROUND((4304*$T$1),0)*1.05</f>
        <v>4519.2</v>
      </c>
      <c r="O1082" s="49">
        <f>ROUND((4345*$T$1),0)*1.05</f>
        <v>4562.25</v>
      </c>
      <c r="P1082" s="49">
        <f>ROUND((4463*$T$1),0)*1.05</f>
        <v>4686.1500000000005</v>
      </c>
      <c r="Q1082" s="49">
        <f>ROUND((4661*$T$1),0)*1.05</f>
        <v>4894.05</v>
      </c>
    </row>
    <row r="1083" spans="1:17" ht="15" customHeight="1" x14ac:dyDescent="0.3">
      <c r="A1083" s="42"/>
      <c r="B1083" s="44" t="s">
        <v>631</v>
      </c>
      <c r="C1083" s="44" t="s">
        <v>45</v>
      </c>
      <c r="D1083" s="47" t="s">
        <v>629</v>
      </c>
      <c r="E1083" s="46" t="s">
        <v>47</v>
      </c>
      <c r="F1083" s="47">
        <v>1.7</v>
      </c>
      <c r="G1083" s="46" t="s">
        <v>48</v>
      </c>
      <c r="H1083" s="57">
        <v>0.9</v>
      </c>
      <c r="I1083" s="48">
        <v>12.1</v>
      </c>
      <c r="J1083" s="49">
        <f>ROUND((4192*$T$1),0)*1.05</f>
        <v>4401.6000000000004</v>
      </c>
      <c r="K1083" s="49">
        <f>ROUND((4658*$T$1),0)*1.05</f>
        <v>4890.9000000000005</v>
      </c>
      <c r="L1083" s="49">
        <f>ROUND((4732*$T$1),0)*1.05</f>
        <v>4968.6000000000004</v>
      </c>
      <c r="M1083" s="49">
        <f>ROUND((4819*$T$1),0)*1.05</f>
        <v>5059.95</v>
      </c>
      <c r="N1083" s="49">
        <f>ROUND((4906*$T$1),0)*1.05</f>
        <v>5151.3</v>
      </c>
      <c r="O1083" s="49">
        <f>ROUND((4958*$T$1),0)*1.05</f>
        <v>5205.9000000000005</v>
      </c>
      <c r="P1083" s="49">
        <f>ROUND((5113*$T$1),0)*1.05</f>
        <v>5368.6500000000005</v>
      </c>
      <c r="Q1083" s="49">
        <f>ROUND((5373*$T$1),0)*1.05</f>
        <v>5641.6500000000005</v>
      </c>
    </row>
    <row r="1084" spans="1:17" ht="15" customHeight="1" x14ac:dyDescent="0.3">
      <c r="A1084" s="42"/>
      <c r="B1084" s="44" t="s">
        <v>330</v>
      </c>
      <c r="C1084" s="44" t="s">
        <v>45</v>
      </c>
      <c r="D1084" s="47" t="s">
        <v>385</v>
      </c>
      <c r="E1084" s="46" t="s">
        <v>47</v>
      </c>
      <c r="F1084" s="47">
        <v>1.3</v>
      </c>
      <c r="G1084" s="46" t="s">
        <v>48</v>
      </c>
      <c r="H1084" s="57">
        <v>0.9</v>
      </c>
      <c r="I1084" s="48">
        <v>12.1</v>
      </c>
      <c r="J1084" s="49">
        <f>ROUND((4192*$T$1),0)*1.05</f>
        <v>4401.6000000000004</v>
      </c>
      <c r="K1084" s="49">
        <f>ROUND((4658*$T$1),0)*1.05</f>
        <v>4890.9000000000005</v>
      </c>
      <c r="L1084" s="49">
        <f>ROUND((4732*$T$1),0)*1.05</f>
        <v>4968.6000000000004</v>
      </c>
      <c r="M1084" s="49">
        <f>ROUND((4819*$T$1),0)*1.05</f>
        <v>5059.95</v>
      </c>
      <c r="N1084" s="49">
        <f>ROUND((4906*$T$1),0)*1.05</f>
        <v>5151.3</v>
      </c>
      <c r="O1084" s="49">
        <f>ROUND((4958*$T$1),0)*1.05</f>
        <v>5205.9000000000005</v>
      </c>
      <c r="P1084" s="49">
        <f>ROUND((5113*$T$1),0)*1.05</f>
        <v>5368.6500000000005</v>
      </c>
      <c r="Q1084" s="49">
        <f>ROUND((5373*$T$1),0)*1.05</f>
        <v>5641.6500000000005</v>
      </c>
    </row>
    <row r="1085" spans="1:17" ht="15" customHeight="1" x14ac:dyDescent="0.3">
      <c r="A1085" s="93"/>
      <c r="B1085" s="44"/>
      <c r="C1085" s="44"/>
      <c r="D1085" s="47"/>
      <c r="E1085" s="46"/>
      <c r="F1085" s="47"/>
      <c r="G1085" s="46"/>
      <c r="H1085" s="57"/>
      <c r="I1085" s="48"/>
      <c r="J1085" s="49"/>
      <c r="K1085" s="49"/>
      <c r="L1085" s="49"/>
      <c r="M1085" s="49"/>
      <c r="N1085" s="49"/>
      <c r="O1085" s="49"/>
      <c r="P1085" s="49"/>
      <c r="Q1085" s="49"/>
    </row>
    <row r="1086" spans="1:17" ht="15" customHeight="1" x14ac:dyDescent="0.3">
      <c r="A1086" s="93"/>
      <c r="B1086" s="126" t="s">
        <v>418</v>
      </c>
      <c r="C1086" s="44"/>
      <c r="D1086" s="47"/>
      <c r="E1086" s="46"/>
      <c r="F1086" s="47"/>
      <c r="G1086" s="46"/>
      <c r="H1086" s="57"/>
      <c r="I1086" s="48"/>
      <c r="J1086" s="49"/>
      <c r="K1086" s="49"/>
      <c r="L1086" s="49"/>
      <c r="M1086" s="49"/>
      <c r="N1086" s="49"/>
      <c r="O1086" s="49"/>
      <c r="P1086" s="49"/>
      <c r="Q1086" s="49"/>
    </row>
    <row r="1087" spans="1:17" ht="15" customHeight="1" x14ac:dyDescent="0.3">
      <c r="A1087" s="42"/>
      <c r="B1087" s="97"/>
      <c r="C1087" s="98"/>
      <c r="D1087" s="99"/>
      <c r="E1087" s="99"/>
      <c r="F1087" s="99"/>
      <c r="G1087" s="99"/>
      <c r="H1087" s="99"/>
      <c r="I1087" s="100"/>
      <c r="J1087" s="101"/>
      <c r="K1087" s="101"/>
      <c r="L1087" s="101"/>
      <c r="M1087" s="101"/>
      <c r="N1087" s="101"/>
      <c r="O1087" s="101"/>
      <c r="P1087" s="101"/>
      <c r="Q1087" s="101"/>
    </row>
    <row r="1088" spans="1:17" ht="15" customHeight="1" x14ac:dyDescent="0.3">
      <c r="A1088" s="42"/>
      <c r="B1088" s="59" t="s">
        <v>632</v>
      </c>
      <c r="C1088" s="60"/>
      <c r="D1088" s="59"/>
      <c r="E1088" s="59"/>
      <c r="F1088" s="59"/>
      <c r="G1088" s="59"/>
      <c r="H1088" s="59"/>
      <c r="I1088" s="61"/>
      <c r="J1088" s="62"/>
      <c r="K1088" s="62"/>
      <c r="L1088" s="62"/>
      <c r="M1088" s="62"/>
      <c r="N1088" s="62"/>
      <c r="O1088" s="62"/>
      <c r="P1088" s="62"/>
      <c r="Q1088" s="62"/>
    </row>
    <row r="1089" spans="1:17" ht="15" customHeight="1" x14ac:dyDescent="0.3">
      <c r="A1089" s="93"/>
      <c r="B1089" s="86"/>
      <c r="C1089" s="86"/>
      <c r="D1089" s="86"/>
      <c r="E1089" s="86"/>
      <c r="F1089" s="86"/>
      <c r="G1089" s="86"/>
      <c r="H1089" s="86"/>
      <c r="I1089" s="55"/>
      <c r="J1089" s="56"/>
      <c r="K1089" s="56"/>
      <c r="L1089" s="56"/>
      <c r="M1089" s="56"/>
      <c r="N1089" s="56"/>
      <c r="O1089" s="56"/>
      <c r="P1089" s="56"/>
      <c r="Q1089" s="56"/>
    </row>
    <row r="1090" spans="1:17" ht="29.1" customHeight="1" x14ac:dyDescent="0.25">
      <c r="A1090" s="127" t="s">
        <v>633</v>
      </c>
      <c r="B1090" s="77"/>
      <c r="C1090" s="187" t="s">
        <v>41</v>
      </c>
      <c r="D1090" s="187"/>
      <c r="E1090" s="187"/>
      <c r="F1090" s="187"/>
      <c r="G1090" s="187"/>
      <c r="H1090" s="187"/>
      <c r="I1090" s="78" t="s">
        <v>42</v>
      </c>
      <c r="J1090" s="41" t="s">
        <v>43</v>
      </c>
      <c r="K1090" s="41">
        <v>1000</v>
      </c>
      <c r="L1090" s="41">
        <v>2000</v>
      </c>
      <c r="M1090" s="41">
        <v>3000</v>
      </c>
      <c r="N1090" s="41">
        <v>4000</v>
      </c>
      <c r="O1090" s="41">
        <v>5000</v>
      </c>
      <c r="P1090" s="41">
        <v>6000</v>
      </c>
      <c r="Q1090" s="41">
        <v>7000</v>
      </c>
    </row>
    <row r="1091" spans="1:17" ht="15" customHeight="1" x14ac:dyDescent="0.3">
      <c r="A1091" s="42"/>
      <c r="B1091" s="43" t="s">
        <v>634</v>
      </c>
      <c r="C1091" s="44" t="s">
        <v>45</v>
      </c>
      <c r="D1091" s="45" t="s">
        <v>81</v>
      </c>
      <c r="E1091" s="46" t="s">
        <v>47</v>
      </c>
      <c r="F1091" s="47" t="s">
        <v>635</v>
      </c>
      <c r="G1091" s="46" t="s">
        <v>48</v>
      </c>
      <c r="H1091" s="47" t="s">
        <v>64</v>
      </c>
      <c r="I1091" s="48">
        <v>13.4</v>
      </c>
      <c r="J1091" s="49">
        <f>ROUND((3564*$T$1),0)*1.05</f>
        <v>3742.2000000000003</v>
      </c>
      <c r="K1091" s="49">
        <f>ROUND((3959*$T$1),0)*1.05</f>
        <v>4156.95</v>
      </c>
      <c r="L1091" s="49">
        <f>ROUND((4046*$T$1),0)*1.05</f>
        <v>4248.3</v>
      </c>
      <c r="M1091" s="49">
        <f>ROUND((4145*$T$1),0)*1.05</f>
        <v>4352.25</v>
      </c>
      <c r="N1091" s="49">
        <f>ROUND((4244*$T$1),0)*1.05</f>
        <v>4456.2</v>
      </c>
      <c r="O1091" s="49">
        <f>ROUND((4303*$T$1),0)*1.05</f>
        <v>4518.1500000000005</v>
      </c>
      <c r="P1091" s="49">
        <f>ROUND((4483*$T$1),0)*1.05</f>
        <v>4707.1500000000005</v>
      </c>
      <c r="Q1091" s="49">
        <f>ROUND((4781*$T$1),0)*1.05</f>
        <v>5020.05</v>
      </c>
    </row>
    <row r="1092" spans="1:17" ht="15" customHeight="1" x14ac:dyDescent="0.3">
      <c r="A1092" s="42"/>
      <c r="B1092" s="43" t="s">
        <v>636</v>
      </c>
      <c r="C1092" s="44" t="s">
        <v>45</v>
      </c>
      <c r="D1092" s="45" t="s">
        <v>83</v>
      </c>
      <c r="E1092" s="46" t="s">
        <v>47</v>
      </c>
      <c r="F1092" s="47" t="s">
        <v>635</v>
      </c>
      <c r="G1092" s="46" t="s">
        <v>48</v>
      </c>
      <c r="H1092" s="47" t="s">
        <v>64</v>
      </c>
      <c r="I1092" s="48">
        <v>13.1</v>
      </c>
      <c r="J1092" s="49">
        <f>ROUND((3472*$T$1),0)*1.05</f>
        <v>3645.6000000000004</v>
      </c>
      <c r="K1092" s="49">
        <f>ROUND((3857*$T$1),0)*1.05</f>
        <v>4049.8500000000004</v>
      </c>
      <c r="L1092" s="49">
        <f>ROUND((3941*$T$1),0)*1.05</f>
        <v>4138.05</v>
      </c>
      <c r="M1092" s="49">
        <f>ROUND((4038*$T$1),0)*1.05</f>
        <v>4239.9000000000005</v>
      </c>
      <c r="N1092" s="49">
        <f>ROUND((4134*$T$1),0)*1.05</f>
        <v>4340.7</v>
      </c>
      <c r="O1092" s="49">
        <f>ROUND((4192*$T$1),0)*1.05</f>
        <v>4401.6000000000004</v>
      </c>
      <c r="P1092" s="49">
        <f>ROUND((4367*$T$1),0)*1.05</f>
        <v>4585.3500000000004</v>
      </c>
      <c r="Q1092" s="49">
        <f>ROUND((4656*$T$1),0)*1.05</f>
        <v>4888.8</v>
      </c>
    </row>
    <row r="1093" spans="1:17" ht="15" customHeight="1" x14ac:dyDescent="0.3">
      <c r="A1093" s="42"/>
      <c r="B1093" s="43" t="s">
        <v>637</v>
      </c>
      <c r="C1093" s="44" t="s">
        <v>45</v>
      </c>
      <c r="D1093" s="45" t="s">
        <v>58</v>
      </c>
      <c r="E1093" s="46" t="s">
        <v>47</v>
      </c>
      <c r="F1093" s="47" t="s">
        <v>635</v>
      </c>
      <c r="G1093" s="46" t="s">
        <v>48</v>
      </c>
      <c r="H1093" s="47" t="s">
        <v>64</v>
      </c>
      <c r="I1093" s="48">
        <v>12.8</v>
      </c>
      <c r="J1093" s="49">
        <f>ROUND((3384*$T$1),0)*1.05</f>
        <v>3553.2000000000003</v>
      </c>
      <c r="K1093" s="49">
        <f>ROUND((3761*$T$1),0)*1.05</f>
        <v>3949.05</v>
      </c>
      <c r="L1093" s="49">
        <f>ROUND((3842*$T$1),0)*1.05</f>
        <v>4034.1000000000004</v>
      </c>
      <c r="M1093" s="49">
        <f>ROUND((3936*$T$1),0)*1.05</f>
        <v>4132.8</v>
      </c>
      <c r="N1093" s="49">
        <f>ROUND((4031*$T$1),0)*1.05</f>
        <v>4232.55</v>
      </c>
      <c r="O1093" s="49">
        <f>ROUND((4087*$T$1),0)*1.05</f>
        <v>4291.3500000000004</v>
      </c>
      <c r="P1093" s="49">
        <f>ROUND((4257*$T$1),0)*1.05</f>
        <v>4469.8500000000004</v>
      </c>
      <c r="Q1093" s="49">
        <f>ROUND((4540*$T$1),0)*1.05</f>
        <v>4767</v>
      </c>
    </row>
    <row r="1094" spans="1:17" ht="15" customHeight="1" x14ac:dyDescent="0.3">
      <c r="A1094" s="42"/>
      <c r="B1094" s="43" t="s">
        <v>638</v>
      </c>
      <c r="C1094" s="44" t="s">
        <v>45</v>
      </c>
      <c r="D1094" s="45" t="s">
        <v>60</v>
      </c>
      <c r="E1094" s="46" t="s">
        <v>47</v>
      </c>
      <c r="F1094" s="47" t="s">
        <v>635</v>
      </c>
      <c r="G1094" s="46" t="s">
        <v>48</v>
      </c>
      <c r="H1094" s="47" t="s">
        <v>64</v>
      </c>
      <c r="I1094" s="48">
        <v>12.2</v>
      </c>
      <c r="J1094" s="49">
        <f>ROUND((3215*$T$1),0)*1.05</f>
        <v>3375.75</v>
      </c>
      <c r="K1094" s="49">
        <f>ROUND((3573*$T$1),0)*1.05</f>
        <v>3751.65</v>
      </c>
      <c r="L1094" s="49">
        <f>ROUND((3650*$T$1),0)*1.05</f>
        <v>3832.5</v>
      </c>
      <c r="M1094" s="49">
        <f>ROUND((3740*$T$1),0)*1.05</f>
        <v>3927</v>
      </c>
      <c r="N1094" s="49">
        <f>ROUND((3828*$T$1),0)*1.05</f>
        <v>4019.4</v>
      </c>
      <c r="O1094" s="49">
        <f>ROUND((3882*$T$1),0)*1.05</f>
        <v>4076.1000000000004</v>
      </c>
      <c r="P1094" s="49">
        <f>ROUND((4045*$T$1),0)*1.05</f>
        <v>4247.25</v>
      </c>
      <c r="Q1094" s="49">
        <f>ROUND((4314*$T$1),0)*1.05</f>
        <v>4529.7</v>
      </c>
    </row>
    <row r="1095" spans="1:17" ht="15" customHeight="1" x14ac:dyDescent="0.3">
      <c r="A1095" s="42"/>
      <c r="B1095" s="43"/>
      <c r="C1095" s="44"/>
      <c r="D1095" s="45"/>
      <c r="E1095" s="46"/>
      <c r="F1095" s="47"/>
      <c r="G1095" s="46"/>
      <c r="H1095" s="47"/>
      <c r="I1095" s="48"/>
      <c r="J1095" s="49"/>
      <c r="K1095" s="49"/>
      <c r="L1095" s="49"/>
      <c r="M1095" s="49"/>
      <c r="N1095" s="49"/>
      <c r="O1095" s="49"/>
      <c r="P1095" s="49"/>
      <c r="Q1095" s="49"/>
    </row>
    <row r="1096" spans="1:17" ht="15" customHeight="1" x14ac:dyDescent="0.3">
      <c r="A1096" s="42"/>
      <c r="B1096" s="43" t="s">
        <v>639</v>
      </c>
      <c r="C1096" s="44" t="s">
        <v>45</v>
      </c>
      <c r="D1096" s="45" t="s">
        <v>640</v>
      </c>
      <c r="E1096" s="46" t="s">
        <v>47</v>
      </c>
      <c r="F1096" s="47" t="s">
        <v>635</v>
      </c>
      <c r="G1096" s="46" t="s">
        <v>48</v>
      </c>
      <c r="H1096" s="47" t="s">
        <v>64</v>
      </c>
      <c r="I1096" s="48">
        <v>13</v>
      </c>
      <c r="J1096" s="49">
        <f>ROUND((3457*$T$1),0)*1.05</f>
        <v>3629.8500000000004</v>
      </c>
      <c r="K1096" s="49">
        <f>ROUND((3841*$T$1),0)*1.05</f>
        <v>4033.05</v>
      </c>
      <c r="L1096" s="49">
        <f>ROUND((3924*$T$1),0)*1.05</f>
        <v>4120.2</v>
      </c>
      <c r="M1096" s="49">
        <f>ROUND((4020*$T$1),0)*1.05</f>
        <v>4221</v>
      </c>
      <c r="N1096" s="49">
        <f>ROUND((4116*$T$1),0)*1.05</f>
        <v>4321.8</v>
      </c>
      <c r="O1096" s="49">
        <f>ROUND((4175*$T$1),0)*1.05</f>
        <v>4383.75</v>
      </c>
      <c r="P1096" s="49">
        <f>ROUND((4348*$T$1),0)*1.05</f>
        <v>4565.4000000000005</v>
      </c>
      <c r="Q1096" s="49">
        <f>ROUND((4637*$T$1),0)*1.05</f>
        <v>4868.8500000000004</v>
      </c>
    </row>
    <row r="1097" spans="1:17" ht="15" customHeight="1" x14ac:dyDescent="0.3">
      <c r="A1097" s="42"/>
      <c r="B1097" s="97" t="s">
        <v>641</v>
      </c>
      <c r="C1097" s="98" t="s">
        <v>45</v>
      </c>
      <c r="D1097" s="99" t="s">
        <v>642</v>
      </c>
      <c r="E1097" s="99" t="s">
        <v>47</v>
      </c>
      <c r="F1097" s="99" t="s">
        <v>635</v>
      </c>
      <c r="G1097" s="99" t="s">
        <v>48</v>
      </c>
      <c r="H1097" s="99" t="s">
        <v>64</v>
      </c>
      <c r="I1097" s="48">
        <v>12.7</v>
      </c>
      <c r="J1097" s="49">
        <f>ROUND((3371*$T$1),0)*1.05</f>
        <v>3539.55</v>
      </c>
      <c r="K1097" s="49">
        <f>ROUND((3744*$T$1),0)*1.05</f>
        <v>3931.2000000000003</v>
      </c>
      <c r="L1097" s="49">
        <f>ROUND((3826*$T$1),0)*1.05</f>
        <v>4017.3</v>
      </c>
      <c r="M1097" s="49">
        <f>ROUND((3919*$T$1),0)*1.05</f>
        <v>4114.95</v>
      </c>
      <c r="N1097" s="49">
        <f>ROUND((4014*$T$1),0)*1.05</f>
        <v>4214.7</v>
      </c>
      <c r="O1097" s="49">
        <f>ROUND((4070*$T$1),0)*1.05</f>
        <v>4273.5</v>
      </c>
      <c r="P1097" s="49">
        <f>ROUND((4240*$T$1),0)*1.05</f>
        <v>4452</v>
      </c>
      <c r="Q1097" s="49">
        <f>ROUND((4521*$T$1),0)*1.05</f>
        <v>4747.05</v>
      </c>
    </row>
    <row r="1098" spans="1:17" ht="15" customHeight="1" x14ac:dyDescent="0.3">
      <c r="A1098" s="42"/>
      <c r="B1098" s="43" t="s">
        <v>643</v>
      </c>
      <c r="C1098" s="44" t="s">
        <v>45</v>
      </c>
      <c r="D1098" s="45" t="s">
        <v>644</v>
      </c>
      <c r="E1098" s="46" t="s">
        <v>47</v>
      </c>
      <c r="F1098" s="47" t="s">
        <v>635</v>
      </c>
      <c r="G1098" s="46" t="s">
        <v>48</v>
      </c>
      <c r="H1098" s="47" t="s">
        <v>64</v>
      </c>
      <c r="I1098" s="48">
        <v>12.4</v>
      </c>
      <c r="J1098" s="49">
        <f>ROUND((3286*$T$1),0)*1.05</f>
        <v>3450.3</v>
      </c>
      <c r="K1098" s="49">
        <f>ROUND((3651*$T$1),0)*1.05</f>
        <v>3833.55</v>
      </c>
      <c r="L1098" s="49">
        <f>ROUND((3731*$T$1),0)*1.05</f>
        <v>3917.55</v>
      </c>
      <c r="M1098" s="49">
        <f>ROUND((3821*$T$1),0)*1.05</f>
        <v>4012.05</v>
      </c>
      <c r="N1098" s="49">
        <f>ROUND((3913*$T$1),0)*1.05</f>
        <v>4108.6500000000005</v>
      </c>
      <c r="O1098" s="49">
        <f>ROUND((3969*$T$1),0)*1.05</f>
        <v>4167.45</v>
      </c>
      <c r="P1098" s="49">
        <f>ROUND((4133*$T$1),0)*1.05</f>
        <v>4339.6500000000005</v>
      </c>
      <c r="Q1098" s="49">
        <f>ROUND((4408*$T$1),0)*1.05</f>
        <v>4628.4000000000005</v>
      </c>
    </row>
    <row r="1099" spans="1:17" ht="15" customHeight="1" x14ac:dyDescent="0.3">
      <c r="A1099" s="42"/>
      <c r="B1099" s="43" t="s">
        <v>645</v>
      </c>
      <c r="C1099" s="44" t="s">
        <v>45</v>
      </c>
      <c r="D1099" s="45" t="s">
        <v>646</v>
      </c>
      <c r="E1099" s="46" t="s">
        <v>47</v>
      </c>
      <c r="F1099" s="47" t="s">
        <v>635</v>
      </c>
      <c r="G1099" s="46" t="s">
        <v>48</v>
      </c>
      <c r="H1099" s="47" t="s">
        <v>64</v>
      </c>
      <c r="I1099" s="48">
        <v>11.8</v>
      </c>
      <c r="J1099" s="49">
        <f>ROUND((3121*$T$1),0)*1.05</f>
        <v>3277.05</v>
      </c>
      <c r="K1099" s="49">
        <f>ROUND((3468*$T$1),0)*1.05</f>
        <v>3641.4</v>
      </c>
      <c r="L1099" s="49">
        <f>ROUND((3544*$T$1),0)*1.05</f>
        <v>3721.2000000000003</v>
      </c>
      <c r="M1099" s="49">
        <f>ROUND((3631*$T$1),0)*1.05</f>
        <v>3812.55</v>
      </c>
      <c r="N1099" s="49">
        <f>ROUND((3717*$T$1),0)*1.05</f>
        <v>3902.8500000000004</v>
      </c>
      <c r="O1099" s="49">
        <f>ROUND((3770*$T$1),0)*1.05</f>
        <v>3958.5</v>
      </c>
      <c r="P1099" s="49">
        <f>ROUND((3927*$T$1),0)*1.05</f>
        <v>4123.3500000000004</v>
      </c>
      <c r="Q1099" s="49">
        <f>ROUND((4188*$T$1),0)*1.05</f>
        <v>4397.4000000000005</v>
      </c>
    </row>
    <row r="1100" spans="1:17" ht="15" customHeight="1" x14ac:dyDescent="0.3">
      <c r="A1100" s="42"/>
      <c r="B1100" s="43"/>
      <c r="C1100" s="44"/>
      <c r="D1100" s="45"/>
      <c r="E1100" s="46"/>
      <c r="F1100" s="47"/>
      <c r="G1100" s="46"/>
      <c r="H1100" s="47"/>
      <c r="I1100" s="48"/>
      <c r="J1100" s="49"/>
      <c r="K1100" s="49"/>
      <c r="L1100" s="49"/>
      <c r="M1100" s="49"/>
      <c r="N1100" s="49"/>
      <c r="O1100" s="49"/>
      <c r="P1100" s="49"/>
      <c r="Q1100" s="49"/>
    </row>
    <row r="1101" spans="1:17" ht="15" customHeight="1" x14ac:dyDescent="0.3">
      <c r="A1101" s="42"/>
      <c r="B1101" s="43" t="s">
        <v>647</v>
      </c>
      <c r="C1101" s="44" t="s">
        <v>45</v>
      </c>
      <c r="D1101" s="45" t="s">
        <v>58</v>
      </c>
      <c r="E1101" s="46" t="s">
        <v>47</v>
      </c>
      <c r="F1101" s="47" t="s">
        <v>635</v>
      </c>
      <c r="G1101" s="46" t="s">
        <v>48</v>
      </c>
      <c r="H1101" s="47" t="s">
        <v>64</v>
      </c>
      <c r="I1101" s="48">
        <v>11</v>
      </c>
      <c r="J1101" s="49">
        <f>ROUND((3334*$T$1),0)*1.05</f>
        <v>3500.7000000000003</v>
      </c>
      <c r="K1101" s="49">
        <f>ROUND((3704*$T$1),0)*1.05</f>
        <v>3889.2000000000003</v>
      </c>
      <c r="L1101" s="49">
        <f>ROUND((3774*$T$1),0)*1.05</f>
        <v>3962.7000000000003</v>
      </c>
      <c r="M1101" s="49">
        <f>ROUND((3856*$T$1),0)*1.05</f>
        <v>4048.8</v>
      </c>
      <c r="N1101" s="49">
        <f>ROUND((3638*$T$1),0)*1.05</f>
        <v>3819.9</v>
      </c>
      <c r="O1101" s="49">
        <f>ROUND((3987*$T$1),0)*1.05</f>
        <v>4186.3500000000004</v>
      </c>
      <c r="P1101" s="49">
        <f>ROUND((4133*$T$1),0)*1.05</f>
        <v>4339.6500000000005</v>
      </c>
      <c r="Q1101" s="49">
        <f>ROUND((4378*$T$1),0)*1.05</f>
        <v>4596.9000000000005</v>
      </c>
    </row>
    <row r="1102" spans="1:17" ht="15" customHeight="1" x14ac:dyDescent="0.3">
      <c r="A1102" s="42"/>
      <c r="B1102" s="43" t="s">
        <v>648</v>
      </c>
      <c r="C1102" s="44" t="s">
        <v>45</v>
      </c>
      <c r="D1102" s="45" t="s">
        <v>60</v>
      </c>
      <c r="E1102" s="46" t="s">
        <v>47</v>
      </c>
      <c r="F1102" s="47" t="s">
        <v>635</v>
      </c>
      <c r="G1102" s="46" t="s">
        <v>48</v>
      </c>
      <c r="H1102" s="47" t="s">
        <v>64</v>
      </c>
      <c r="I1102" s="48">
        <v>12.2</v>
      </c>
      <c r="J1102" s="49">
        <f>ROUND((3235*$T$1),0)*1.05</f>
        <v>3396.75</v>
      </c>
      <c r="K1102" s="49">
        <f>ROUND((3595*$T$1),0)*1.05</f>
        <v>3774.75</v>
      </c>
      <c r="L1102" s="49">
        <f>ROUND((3673*$T$1),0)*1.05</f>
        <v>3856.65</v>
      </c>
      <c r="M1102" s="49">
        <f>ROUND((3763*$T$1),0)*1.05</f>
        <v>3951.15</v>
      </c>
      <c r="N1102" s="49">
        <f>ROUND((3853*$T$1),0)*1.05</f>
        <v>4045.65</v>
      </c>
      <c r="O1102" s="49">
        <f>ROUND((3907*$T$1),0)*1.05</f>
        <v>4102.3500000000004</v>
      </c>
      <c r="P1102" s="49">
        <f>ROUND((4070*$T$1),0)*1.05</f>
        <v>4273.5</v>
      </c>
      <c r="Q1102" s="49">
        <f>ROUND((4340*$T$1),0)*1.05</f>
        <v>4557</v>
      </c>
    </row>
    <row r="1103" spans="1:17" ht="15" customHeight="1" x14ac:dyDescent="0.3">
      <c r="A1103" s="42"/>
      <c r="B1103" s="97" t="s">
        <v>649</v>
      </c>
      <c r="C1103" s="98" t="s">
        <v>45</v>
      </c>
      <c r="D1103" s="99" t="s">
        <v>62</v>
      </c>
      <c r="E1103" s="99" t="s">
        <v>47</v>
      </c>
      <c r="F1103" s="99" t="s">
        <v>635</v>
      </c>
      <c r="G1103" s="99" t="s">
        <v>48</v>
      </c>
      <c r="H1103" s="99" t="s">
        <v>64</v>
      </c>
      <c r="I1103" s="48">
        <v>12</v>
      </c>
      <c r="J1103" s="49">
        <f>ROUND((3154*$T$1),0)*1.05</f>
        <v>3311.7000000000003</v>
      </c>
      <c r="K1103" s="49">
        <f>ROUND((3505*$T$1),0)*1.05</f>
        <v>3680.25</v>
      </c>
      <c r="L1103" s="49">
        <f>ROUND((3581*$T$1),0)*1.05</f>
        <v>3760.05</v>
      </c>
      <c r="M1103" s="49">
        <f>ROUND((3669*$T$1),0)*1.05</f>
        <v>3852.4500000000003</v>
      </c>
      <c r="N1103" s="49">
        <f>ROUND((3756*$T$1),0)*1.05</f>
        <v>3943.8</v>
      </c>
      <c r="O1103" s="49">
        <f>ROUND((3810*$T$1),0)*1.05</f>
        <v>4000.5</v>
      </c>
      <c r="P1103" s="49">
        <f>ROUND((3969*$T$1),0)*1.05</f>
        <v>4167.45</v>
      </c>
      <c r="Q1103" s="49">
        <f>ROUND((4232*$T$1),0)*1.05</f>
        <v>4443.6000000000004</v>
      </c>
    </row>
    <row r="1104" spans="1:17" ht="15" customHeight="1" x14ac:dyDescent="0.3">
      <c r="A1104" s="42"/>
      <c r="B1104" s="43" t="s">
        <v>650</v>
      </c>
      <c r="C1104" s="44" t="s">
        <v>45</v>
      </c>
      <c r="D1104" s="45" t="s">
        <v>64</v>
      </c>
      <c r="E1104" s="46" t="s">
        <v>47</v>
      </c>
      <c r="F1104" s="47" t="s">
        <v>635</v>
      </c>
      <c r="G1104" s="46" t="s">
        <v>48</v>
      </c>
      <c r="H1104" s="47" t="s">
        <v>64</v>
      </c>
      <c r="I1104" s="48">
        <v>11.4</v>
      </c>
      <c r="J1104" s="49">
        <f>ROUND((2997*$T$1),0)*1.05</f>
        <v>3146.85</v>
      </c>
      <c r="K1104" s="49">
        <f>ROUND((3329*$T$1),0)*1.05</f>
        <v>3495.4500000000003</v>
      </c>
      <c r="L1104" s="49">
        <f>ROUND((3403*$T$1),0)*1.05</f>
        <v>3573.15</v>
      </c>
      <c r="M1104" s="49">
        <f>ROUND((3486*$T$1),0)*1.05</f>
        <v>3660.3</v>
      </c>
      <c r="N1104" s="49">
        <f>ROUND((3768*$T$1),0)*1.05</f>
        <v>3956.4</v>
      </c>
      <c r="O1104" s="49">
        <f>ROUND((3619*$T$1),0)*1.05</f>
        <v>3799.9500000000003</v>
      </c>
      <c r="P1104" s="49">
        <f>ROUND((3770*$T$1),0)*1.05</f>
        <v>3958.5</v>
      </c>
      <c r="Q1104" s="49">
        <f>ROUND((4020*$T$1),0)*1.05</f>
        <v>4221</v>
      </c>
    </row>
    <row r="1105" spans="1:17" ht="15" customHeight="1" x14ac:dyDescent="0.3">
      <c r="A1105" s="42"/>
      <c r="B1105" s="43"/>
      <c r="C1105" s="44"/>
      <c r="D1105" s="45"/>
      <c r="E1105" s="46"/>
      <c r="F1105" s="47"/>
      <c r="G1105" s="46"/>
      <c r="H1105" s="47"/>
      <c r="I1105" s="48"/>
      <c r="J1105" s="49"/>
      <c r="K1105" s="49"/>
      <c r="L1105" s="49"/>
      <c r="M1105" s="49"/>
      <c r="N1105" s="49"/>
      <c r="O1105" s="49"/>
      <c r="P1105" s="49"/>
      <c r="Q1105" s="49"/>
    </row>
    <row r="1106" spans="1:17" ht="15" customHeight="1" x14ac:dyDescent="0.3">
      <c r="A1106" s="42"/>
      <c r="B1106" s="43" t="s">
        <v>651</v>
      </c>
      <c r="C1106" s="44" t="s">
        <v>45</v>
      </c>
      <c r="D1106" s="45" t="s">
        <v>652</v>
      </c>
      <c r="E1106" s="46" t="s">
        <v>47</v>
      </c>
      <c r="F1106" s="47" t="s">
        <v>635</v>
      </c>
      <c r="G1106" s="46" t="s">
        <v>48</v>
      </c>
      <c r="H1106" s="47" t="s">
        <v>64</v>
      </c>
      <c r="I1106" s="48">
        <v>13.3</v>
      </c>
      <c r="J1106" s="49">
        <f>ROUND((3526*$T$1),0)*1.05</f>
        <v>3702.3</v>
      </c>
      <c r="K1106" s="49">
        <f>ROUND((3918*$T$1),0)*1.05</f>
        <v>4113.9000000000005</v>
      </c>
      <c r="L1106" s="49">
        <f>ROUND((4003*$T$1),0)*1.05</f>
        <v>4203.1500000000005</v>
      </c>
      <c r="M1106" s="49">
        <f>ROUND((4101*$T$1),0)*1.05</f>
        <v>4306.05</v>
      </c>
      <c r="N1106" s="49">
        <f>ROUND((4199*$T$1),0)*1.05</f>
        <v>4408.95</v>
      </c>
      <c r="O1106" s="49">
        <f>ROUND((4257*$T$1),0)*1.05</f>
        <v>4469.8500000000004</v>
      </c>
      <c r="P1106" s="49">
        <f>ROUND((4436*$T$1),0)*1.05</f>
        <v>4657.8</v>
      </c>
      <c r="Q1106" s="49">
        <f>ROUND((4730*$T$1),0)*1.05</f>
        <v>4966.5</v>
      </c>
    </row>
    <row r="1107" spans="1:17" ht="15" customHeight="1" x14ac:dyDescent="0.3">
      <c r="A1107" s="42"/>
      <c r="B1107" s="43" t="s">
        <v>653</v>
      </c>
      <c r="C1107" s="44" t="s">
        <v>45</v>
      </c>
      <c r="D1107" s="45" t="s">
        <v>152</v>
      </c>
      <c r="E1107" s="46" t="s">
        <v>47</v>
      </c>
      <c r="F1107" s="47" t="s">
        <v>635</v>
      </c>
      <c r="G1107" s="46" t="s">
        <v>48</v>
      </c>
      <c r="H1107" s="47" t="s">
        <v>64</v>
      </c>
      <c r="I1107" s="48">
        <v>13</v>
      </c>
      <c r="J1107" s="49">
        <f>ROUND((3437*$T$1),0)*1.05</f>
        <v>3608.8500000000004</v>
      </c>
      <c r="K1107" s="49">
        <f>ROUND((3819*$T$1),0)*1.05</f>
        <v>4009.9500000000003</v>
      </c>
      <c r="L1107" s="49">
        <f>ROUND((3903*$T$1),0)*1.05</f>
        <v>4098.1500000000005</v>
      </c>
      <c r="M1107" s="49">
        <f>ROUND((3999*$T$1),0)*1.05</f>
        <v>4198.95</v>
      </c>
      <c r="N1107" s="49">
        <f>ROUND((4094*$T$1),0)*1.05</f>
        <v>4298.7</v>
      </c>
      <c r="O1107" s="49">
        <f>ROUND((4152*$T$1),0)*1.05</f>
        <v>4359.6000000000004</v>
      </c>
      <c r="P1107" s="49">
        <f>ROUND((4324*$T$1),0)*1.05</f>
        <v>4540.2</v>
      </c>
      <c r="Q1107" s="49">
        <f>ROUND((4612*$T$1),0)*1.05</f>
        <v>4842.6000000000004</v>
      </c>
    </row>
    <row r="1108" spans="1:17" ht="15" customHeight="1" x14ac:dyDescent="0.3">
      <c r="A1108" s="42"/>
      <c r="B1108" s="43" t="s">
        <v>654</v>
      </c>
      <c r="C1108" s="44" t="s">
        <v>45</v>
      </c>
      <c r="D1108" s="45" t="s">
        <v>154</v>
      </c>
      <c r="E1108" s="46" t="s">
        <v>47</v>
      </c>
      <c r="F1108" s="47" t="s">
        <v>635</v>
      </c>
      <c r="G1108" s="46" t="s">
        <v>48</v>
      </c>
      <c r="H1108" s="47" t="s">
        <v>64</v>
      </c>
      <c r="I1108" s="48">
        <v>12.7</v>
      </c>
      <c r="J1108" s="49">
        <f>ROUND((3351*$T$1),0)*1.05</f>
        <v>3518.55</v>
      </c>
      <c r="K1108" s="49">
        <f>ROUND((3724*$T$1),0)*1.05</f>
        <v>3910.2000000000003</v>
      </c>
      <c r="L1108" s="49">
        <f>ROUND((3805*$T$1),0)*1.05</f>
        <v>3995.25</v>
      </c>
      <c r="M1108" s="49">
        <f>ROUND((3899*$T$1),0)*1.05</f>
        <v>4093.9500000000003</v>
      </c>
      <c r="N1108" s="49">
        <f>ROUND((3992*$T$1),0)*1.05</f>
        <v>4191.6000000000004</v>
      </c>
      <c r="O1108" s="49">
        <f>ROUND((4048*$T$1),0)*1.05</f>
        <v>4250.4000000000005</v>
      </c>
      <c r="P1108" s="49">
        <f>ROUND((4216*$T$1),0)*1.05</f>
        <v>4426.8</v>
      </c>
      <c r="Q1108" s="49">
        <f>ROUND((4497*$T$1),0)*1.05</f>
        <v>4721.8500000000004</v>
      </c>
    </row>
    <row r="1109" spans="1:17" ht="15" customHeight="1" x14ac:dyDescent="0.3">
      <c r="A1109" s="42"/>
      <c r="B1109" s="97" t="s">
        <v>655</v>
      </c>
      <c r="C1109" s="98" t="s">
        <v>45</v>
      </c>
      <c r="D1109" s="99" t="s">
        <v>156</v>
      </c>
      <c r="E1109" s="98" t="s">
        <v>47</v>
      </c>
      <c r="F1109" s="99" t="s">
        <v>635</v>
      </c>
      <c r="G1109" s="98" t="s">
        <v>48</v>
      </c>
      <c r="H1109" s="99" t="s">
        <v>64</v>
      </c>
      <c r="I1109" s="48">
        <v>12.1</v>
      </c>
      <c r="J1109" s="49">
        <f>ROUND((3184*$T$1),0)*1.05</f>
        <v>3343.2000000000003</v>
      </c>
      <c r="K1109" s="49">
        <f>ROUND((3537*$T$1),0)*1.05</f>
        <v>3713.8500000000004</v>
      </c>
      <c r="L1109" s="49">
        <f>ROUND((3614*$T$1),0)*1.05</f>
        <v>3794.7000000000003</v>
      </c>
      <c r="M1109" s="49">
        <f>ROUND((3703*$T$1),0)*1.05</f>
        <v>3888.15</v>
      </c>
      <c r="N1109" s="49">
        <f>ROUND((3792*$T$1),0)*1.05</f>
        <v>3981.6000000000004</v>
      </c>
      <c r="O1109" s="49">
        <f>ROUND((3846*$T$1),0)*1.05</f>
        <v>4038.3</v>
      </c>
      <c r="P1109" s="49">
        <f>ROUND((4005*$T$1),0)*1.05</f>
        <v>4205.25</v>
      </c>
      <c r="Q1109" s="49">
        <f>ROUND((4271*$T$1),0)*1.05</f>
        <v>4484.55</v>
      </c>
    </row>
    <row r="1110" spans="1:17" ht="15" customHeight="1" x14ac:dyDescent="0.3">
      <c r="A1110" s="42"/>
      <c r="B1110" s="97"/>
      <c r="C1110" s="98"/>
      <c r="D1110" s="99"/>
      <c r="E1110" s="99"/>
      <c r="F1110" s="99"/>
      <c r="G1110" s="99"/>
      <c r="H1110" s="99"/>
      <c r="I1110" s="48"/>
      <c r="J1110" s="49"/>
      <c r="K1110" s="49"/>
      <c r="L1110" s="49"/>
      <c r="M1110" s="49"/>
      <c r="N1110" s="49"/>
      <c r="O1110" s="49"/>
      <c r="P1110" s="49"/>
      <c r="Q1110" s="49"/>
    </row>
    <row r="1111" spans="1:17" ht="15" customHeight="1" x14ac:dyDescent="0.3">
      <c r="A1111" s="42"/>
      <c r="B1111" s="97" t="s">
        <v>656</v>
      </c>
      <c r="C1111" s="98" t="s">
        <v>45</v>
      </c>
      <c r="D1111" s="99">
        <v>1.18</v>
      </c>
      <c r="E1111" s="98" t="s">
        <v>47</v>
      </c>
      <c r="F1111" s="140">
        <v>1.18</v>
      </c>
      <c r="G1111" s="98" t="s">
        <v>48</v>
      </c>
      <c r="H1111" s="99" t="s">
        <v>64</v>
      </c>
      <c r="I1111" s="48">
        <v>12.8</v>
      </c>
      <c r="J1111" s="49">
        <f>ROUND((3334*$T$1),0)*1.05</f>
        <v>3500.7000000000003</v>
      </c>
      <c r="K1111" s="49">
        <f>ROUND((3704*$T$1),0)*1.05</f>
        <v>3889.2000000000003</v>
      </c>
      <c r="L1111" s="49">
        <f>ROUND((3774*$T$1),0)*1.05</f>
        <v>3962.7000000000003</v>
      </c>
      <c r="M1111" s="49">
        <f>ROUND((3856*$T$1),0)*1.05</f>
        <v>4048.8</v>
      </c>
      <c r="N1111" s="49">
        <f>ROUND((3938*$T$1),0)*1.05</f>
        <v>4134.9000000000005</v>
      </c>
      <c r="O1111" s="49">
        <f>ROUND((3987*$T$1),0)*1.05</f>
        <v>4186.3500000000004</v>
      </c>
      <c r="P1111" s="49">
        <f>ROUND((4133*$T$1),0)*1.05</f>
        <v>4339.6500000000005</v>
      </c>
      <c r="Q1111" s="49">
        <f>ROUND((4378*$T$1),0)*1.05</f>
        <v>4596.9000000000005</v>
      </c>
    </row>
    <row r="1112" spans="1:17" ht="15" customHeight="1" x14ac:dyDescent="0.3">
      <c r="A1112" s="42"/>
      <c r="B1112" s="97" t="s">
        <v>657</v>
      </c>
      <c r="C1112" s="98" t="s">
        <v>45</v>
      </c>
      <c r="D1112" s="140">
        <v>1.2</v>
      </c>
      <c r="E1112" s="98" t="s">
        <v>47</v>
      </c>
      <c r="F1112" s="140">
        <v>1.2</v>
      </c>
      <c r="G1112" s="98" t="s">
        <v>48</v>
      </c>
      <c r="H1112" s="99" t="s">
        <v>64</v>
      </c>
      <c r="I1112" s="48">
        <v>14</v>
      </c>
      <c r="J1112" s="49">
        <f>ROUND((3526*$T$1),0)*1.05</f>
        <v>3702.3</v>
      </c>
      <c r="K1112" s="49">
        <f>ROUND((3918*$T$1),0)*1.05</f>
        <v>4113.9000000000005</v>
      </c>
      <c r="L1112" s="49">
        <f>ROUND((4003*$T$1),0)*1.05</f>
        <v>4203.1500000000005</v>
      </c>
      <c r="M1112" s="49">
        <f>ROUND((4101*$T$1),0)*1.05</f>
        <v>4306.05</v>
      </c>
      <c r="N1112" s="49">
        <f>ROUND((4199*$T$1),0)*1.05</f>
        <v>4408.95</v>
      </c>
      <c r="O1112" s="49">
        <f>ROUND((4257*$T$1),0)*1.05</f>
        <v>4469.8500000000004</v>
      </c>
      <c r="P1112" s="49">
        <f>ROUND((4436*$T$1),0)*1.05</f>
        <v>4657.8</v>
      </c>
      <c r="Q1112" s="49">
        <f>ROUND((4370*$T$1),0)*1.05</f>
        <v>4588.5</v>
      </c>
    </row>
    <row r="1113" spans="1:17" ht="15" customHeight="1" x14ac:dyDescent="0.3">
      <c r="A1113" s="42"/>
      <c r="B1113" s="97"/>
      <c r="C1113" s="98"/>
      <c r="D1113" s="99"/>
      <c r="E1113" s="99"/>
      <c r="F1113" s="99"/>
      <c r="G1113" s="99"/>
      <c r="H1113" s="99"/>
      <c r="I1113" s="100"/>
      <c r="J1113" s="101"/>
      <c r="K1113" s="101"/>
      <c r="L1113" s="101"/>
      <c r="M1113" s="87" t="s">
        <v>134</v>
      </c>
      <c r="N1113" s="101"/>
      <c r="O1113" s="101"/>
      <c r="P1113" s="101"/>
      <c r="Q1113" s="101"/>
    </row>
    <row r="1114" spans="1:17" ht="15" customHeight="1" x14ac:dyDescent="0.3">
      <c r="A1114" s="42"/>
      <c r="B1114" s="59" t="s">
        <v>658</v>
      </c>
      <c r="C1114" s="59" t="s">
        <v>511</v>
      </c>
      <c r="D1114" s="59"/>
      <c r="E1114" s="59"/>
      <c r="F1114" s="59"/>
      <c r="G1114" s="59"/>
      <c r="H1114" s="59"/>
      <c r="I1114" s="61"/>
      <c r="J1114" s="62"/>
      <c r="K1114" s="62"/>
      <c r="L1114" s="62"/>
      <c r="M1114" s="62"/>
      <c r="N1114" s="62"/>
      <c r="O1114" s="62"/>
      <c r="P1114" s="62"/>
      <c r="Q1114" s="62"/>
    </row>
    <row r="1115" spans="1:17" ht="15" customHeight="1" x14ac:dyDescent="0.3">
      <c r="A1115" s="93"/>
      <c r="B1115" s="86"/>
      <c r="C1115" s="86"/>
      <c r="D1115" s="86"/>
      <c r="E1115" s="86"/>
      <c r="F1115" s="86"/>
      <c r="G1115" s="86"/>
      <c r="H1115" s="86"/>
      <c r="I1115" s="55"/>
      <c r="J1115" s="56"/>
      <c r="K1115" s="56"/>
      <c r="L1115" s="56"/>
      <c r="M1115" s="56"/>
      <c r="N1115" s="56"/>
      <c r="O1115" s="56"/>
      <c r="P1115" s="56"/>
      <c r="Q1115" s="56"/>
    </row>
    <row r="1116" spans="1:17" ht="29.1" customHeight="1" x14ac:dyDescent="0.25">
      <c r="A1116" s="127" t="s">
        <v>659</v>
      </c>
      <c r="B1116" s="77"/>
      <c r="C1116" s="187" t="s">
        <v>41</v>
      </c>
      <c r="D1116" s="187"/>
      <c r="E1116" s="187"/>
      <c r="F1116" s="187"/>
      <c r="G1116" s="187"/>
      <c r="H1116" s="187"/>
      <c r="I1116" s="78" t="s">
        <v>42</v>
      </c>
      <c r="J1116" s="41" t="s">
        <v>43</v>
      </c>
      <c r="K1116" s="41">
        <v>1000</v>
      </c>
      <c r="L1116" s="41">
        <v>2000</v>
      </c>
      <c r="M1116" s="41">
        <v>3000</v>
      </c>
      <c r="N1116" s="41">
        <v>4000</v>
      </c>
      <c r="O1116" s="41">
        <v>5000</v>
      </c>
      <c r="P1116" s="41">
        <v>6000</v>
      </c>
      <c r="Q1116" s="41">
        <v>7000</v>
      </c>
    </row>
    <row r="1117" spans="1:17" ht="15" customHeight="1" x14ac:dyDescent="0.3">
      <c r="A1117" s="42"/>
      <c r="B1117" s="43" t="s">
        <v>660</v>
      </c>
      <c r="C1117" s="44" t="s">
        <v>45</v>
      </c>
      <c r="D1117" s="45" t="s">
        <v>661</v>
      </c>
      <c r="E1117" s="46" t="s">
        <v>47</v>
      </c>
      <c r="F1117" s="47" t="s">
        <v>58</v>
      </c>
      <c r="G1117" s="46" t="s">
        <v>48</v>
      </c>
      <c r="H1117" s="47" t="s">
        <v>662</v>
      </c>
      <c r="I1117" s="48">
        <v>13</v>
      </c>
      <c r="J1117" s="49">
        <f>ROUND((2989*$T$1),0)*1.05</f>
        <v>3138.4500000000003</v>
      </c>
      <c r="K1117" s="49">
        <f>ROUND((3321*$T$1),0)*1.05</f>
        <v>3487.05</v>
      </c>
      <c r="L1117" s="49">
        <f>ROUND((3394*$T$1),0)*1.05</f>
        <v>3563.7000000000003</v>
      </c>
      <c r="M1117" s="49">
        <f>ROUND((3478*$T$1),0)*1.05</f>
        <v>3651.9</v>
      </c>
      <c r="N1117" s="49">
        <f>ROUND((3556*$T$1),0)*1.05</f>
        <v>3733.8</v>
      </c>
      <c r="O1117" s="49">
        <f>ROUND((3618*$T$1),0)*1.05</f>
        <v>3798.9</v>
      </c>
      <c r="P1117" s="49">
        <f>ROUND((3764*$T$1),0)*1.05</f>
        <v>3952.2000000000003</v>
      </c>
      <c r="Q1117" s="49">
        <f>ROUND((4016*$T$1),0)*1.05</f>
        <v>4216.8</v>
      </c>
    </row>
    <row r="1118" spans="1:17" ht="15" customHeight="1" x14ac:dyDescent="0.3">
      <c r="A1118" s="42"/>
      <c r="B1118" s="43" t="s">
        <v>663</v>
      </c>
      <c r="C1118" s="44" t="s">
        <v>45</v>
      </c>
      <c r="D1118" s="45" t="s">
        <v>664</v>
      </c>
      <c r="E1118" s="46" t="s">
        <v>47</v>
      </c>
      <c r="F1118" s="47" t="s">
        <v>58</v>
      </c>
      <c r="G1118" s="46" t="s">
        <v>48</v>
      </c>
      <c r="H1118" s="47" t="s">
        <v>665</v>
      </c>
      <c r="I1118" s="48">
        <v>12.8</v>
      </c>
      <c r="J1118" s="49">
        <f>ROUND((2929*$T$1),0)*1.05</f>
        <v>3075.4500000000003</v>
      </c>
      <c r="K1118" s="49">
        <f>ROUND((3255*$T$1),0)*1.05</f>
        <v>3417.75</v>
      </c>
      <c r="L1118" s="49">
        <f>ROUND((3326*$T$1),0)*1.05</f>
        <v>3492.3</v>
      </c>
      <c r="M1118" s="49">
        <f>ROUND((3409*$T$1),0)*1.05</f>
        <v>3579.4500000000003</v>
      </c>
      <c r="N1118" s="49">
        <f>ROUND((3490*$T$1),0)*1.05</f>
        <v>3664.5</v>
      </c>
      <c r="O1118" s="49">
        <f>ROUND((3540*$T$1),0)*1.05</f>
        <v>3717</v>
      </c>
      <c r="P1118" s="49">
        <f>ROUND((3689*$T$1),0)*1.05</f>
        <v>3873.4500000000003</v>
      </c>
      <c r="Q1118" s="49">
        <f>ROUND((3935*$T$1),0)*1.05</f>
        <v>4131.75</v>
      </c>
    </row>
    <row r="1119" spans="1:17" ht="15" customHeight="1" x14ac:dyDescent="0.3">
      <c r="A1119" s="42"/>
      <c r="B1119" s="43" t="s">
        <v>666</v>
      </c>
      <c r="C1119" s="44" t="s">
        <v>45</v>
      </c>
      <c r="D1119" s="45" t="s">
        <v>629</v>
      </c>
      <c r="E1119" s="46" t="s">
        <v>47</v>
      </c>
      <c r="F1119" s="47" t="s">
        <v>58</v>
      </c>
      <c r="G1119" s="46" t="s">
        <v>48</v>
      </c>
      <c r="H1119" s="47" t="s">
        <v>665</v>
      </c>
      <c r="I1119" s="48">
        <v>12.4</v>
      </c>
      <c r="J1119" s="49">
        <f>ROUND((2839*$T$1),0)*1.05</f>
        <v>2980.9500000000003</v>
      </c>
      <c r="K1119" s="49">
        <f>ROUND((3156*$T$1),0)*1.05</f>
        <v>3313.8</v>
      </c>
      <c r="L1119" s="49">
        <f>ROUND((3223*$T$1),0)*1.05</f>
        <v>3384.15</v>
      </c>
      <c r="M1119" s="49">
        <f>ROUND((3304*$T$1),0)*1.05</f>
        <v>3469.2000000000003</v>
      </c>
      <c r="N1119" s="49">
        <f>ROUND((3383*$T$1),0)*1.05</f>
        <v>3552.15</v>
      </c>
      <c r="O1119" s="49">
        <f>ROUND((3432*$T$1),0)*1.05</f>
        <v>3603.6000000000004</v>
      </c>
      <c r="P1119" s="49">
        <f>ROUND((3575*$T$1),0)*1.05</f>
        <v>3753.75</v>
      </c>
      <c r="Q1119" s="49">
        <f>ROUND((3815*$T$1),0)*1.05</f>
        <v>4005.75</v>
      </c>
    </row>
    <row r="1120" spans="1:17" ht="15" customHeight="1" x14ac:dyDescent="0.3">
      <c r="A1120" s="42"/>
      <c r="B1120" s="43" t="s">
        <v>667</v>
      </c>
      <c r="C1120" s="44" t="s">
        <v>45</v>
      </c>
      <c r="D1120" s="45" t="s">
        <v>668</v>
      </c>
      <c r="E1120" s="46" t="s">
        <v>47</v>
      </c>
      <c r="F1120" s="47" t="s">
        <v>58</v>
      </c>
      <c r="G1120" s="46" t="s">
        <v>48</v>
      </c>
      <c r="H1120" s="47" t="s">
        <v>665</v>
      </c>
      <c r="I1120" s="48">
        <v>11.8</v>
      </c>
      <c r="J1120" s="49">
        <f>ROUND((2698*$T$1),0)*1.05</f>
        <v>2832.9</v>
      </c>
      <c r="K1120" s="49">
        <f>ROUND((2997*$T$1),0)*1.05</f>
        <v>3146.85</v>
      </c>
      <c r="L1120" s="49">
        <f>ROUND((3062*$T$1),0)*1.05</f>
        <v>3215.1</v>
      </c>
      <c r="M1120" s="49">
        <f>ROUND((3138*$T$1),0)*1.05</f>
        <v>3294.9</v>
      </c>
      <c r="N1120" s="49">
        <f>ROUND((3214*$T$1),0)*1.05</f>
        <v>3374.7000000000003</v>
      </c>
      <c r="O1120" s="49">
        <f>ROUND((3260*$T$1),0)*1.05</f>
        <v>3423</v>
      </c>
      <c r="P1120" s="49">
        <f>ROUND((3397*$T$1),0)*1.05</f>
        <v>3566.8500000000004</v>
      </c>
      <c r="Q1120" s="49">
        <f>ROUND((3625*$T$1),0)*1.05</f>
        <v>3806.25</v>
      </c>
    </row>
    <row r="1121" spans="1:17" ht="15" customHeight="1" x14ac:dyDescent="0.3">
      <c r="A1121" s="42"/>
      <c r="B1121" s="43" t="s">
        <v>669</v>
      </c>
      <c r="C1121" s="44" t="s">
        <v>45</v>
      </c>
      <c r="D1121" s="45" t="s">
        <v>58</v>
      </c>
      <c r="E1121" s="46" t="s">
        <v>47</v>
      </c>
      <c r="F1121" s="47" t="s">
        <v>58</v>
      </c>
      <c r="G1121" s="46" t="s">
        <v>48</v>
      </c>
      <c r="H1121" s="47" t="s">
        <v>665</v>
      </c>
      <c r="I1121" s="48">
        <v>12.7</v>
      </c>
      <c r="J1121" s="49">
        <f>ROUND((2899*$T$1),0)*1.05</f>
        <v>3043.9500000000003</v>
      </c>
      <c r="K1121" s="49">
        <f>ROUND((3221*$T$1),0)*1.05</f>
        <v>3382.05</v>
      </c>
      <c r="L1121" s="49">
        <f>ROUND((3291*$T$1),0)*1.05</f>
        <v>3455.55</v>
      </c>
      <c r="M1121" s="49">
        <f>ROUND((3373*$T$1),0)*1.05</f>
        <v>3541.65</v>
      </c>
      <c r="N1121" s="49">
        <f>ROUND((3455*$T$1),0)*1.05</f>
        <v>3627.75</v>
      </c>
      <c r="O1121" s="49">
        <f>ROUND((3504*$T$1),0)*1.05</f>
        <v>3679.2000000000003</v>
      </c>
      <c r="P1121" s="49">
        <f>ROUND((3651*$T$1),0)*1.05</f>
        <v>3833.55</v>
      </c>
      <c r="Q1121" s="49">
        <f>ROUND((3895*$T$1),0)*1.05</f>
        <v>4089.75</v>
      </c>
    </row>
    <row r="1122" spans="1:17" ht="15" customHeight="1" x14ac:dyDescent="0.3">
      <c r="A1122" s="42"/>
      <c r="B1122" s="43" t="s">
        <v>533</v>
      </c>
      <c r="C1122" s="44" t="s">
        <v>45</v>
      </c>
      <c r="D1122" s="45" t="s">
        <v>60</v>
      </c>
      <c r="E1122" s="46" t="s">
        <v>47</v>
      </c>
      <c r="F1122" s="47" t="s">
        <v>58</v>
      </c>
      <c r="G1122" s="46" t="s">
        <v>48</v>
      </c>
      <c r="H1122" s="47" t="s">
        <v>665</v>
      </c>
      <c r="I1122" s="48">
        <v>12.5</v>
      </c>
      <c r="J1122" s="49">
        <f>ROUND((2842*$T$1),0)*1.05</f>
        <v>2984.1</v>
      </c>
      <c r="K1122" s="49">
        <f>ROUND((3610*$T$1),0)*1.05</f>
        <v>3790.5</v>
      </c>
      <c r="L1122" s="49">
        <f>ROUND((3226*$T$1),0)*1.05</f>
        <v>3387.3</v>
      </c>
      <c r="M1122" s="49">
        <f>ROUND((3306*$T$1),0)*1.05</f>
        <v>3471.3</v>
      </c>
      <c r="N1122" s="49">
        <f>ROUND((3386*$T$1),0)*1.05</f>
        <v>3555.3</v>
      </c>
      <c r="O1122" s="49">
        <f>ROUND((3434*$T$1),0)*1.05</f>
        <v>3605.7000000000003</v>
      </c>
      <c r="P1122" s="49">
        <f>ROUND((3578*$T$1),0)*1.05</f>
        <v>3756.9</v>
      </c>
      <c r="Q1122" s="49">
        <f>ROUND((3817*$T$1),0)*1.05</f>
        <v>4007.8500000000004</v>
      </c>
    </row>
    <row r="1123" spans="1:17" ht="15" customHeight="1" x14ac:dyDescent="0.3">
      <c r="A1123" s="42"/>
      <c r="B1123" s="43" t="s">
        <v>486</v>
      </c>
      <c r="C1123" s="44" t="s">
        <v>45</v>
      </c>
      <c r="D1123" s="45" t="s">
        <v>62</v>
      </c>
      <c r="E1123" s="46" t="s">
        <v>47</v>
      </c>
      <c r="F1123" s="47" t="s">
        <v>58</v>
      </c>
      <c r="G1123" s="46" t="s">
        <v>48</v>
      </c>
      <c r="H1123" s="47" t="s">
        <v>665</v>
      </c>
      <c r="I1123" s="48">
        <v>12.1</v>
      </c>
      <c r="J1123" s="49">
        <f>ROUND((2754*$T$1),0)*1.05</f>
        <v>2891.7000000000003</v>
      </c>
      <c r="K1123" s="49">
        <f>ROUND((3060*$T$1),0)*1.05</f>
        <v>3213</v>
      </c>
      <c r="L1123" s="49">
        <f>ROUND((3127*$T$1),0)*1.05</f>
        <v>3283.3500000000004</v>
      </c>
      <c r="M1123" s="49">
        <f>ROUND((3205*$T$1),0)*1.05</f>
        <v>3365.25</v>
      </c>
      <c r="N1123" s="49">
        <f>ROUND((3282*$T$1),0)*1.05</f>
        <v>3446.1000000000004</v>
      </c>
      <c r="O1123" s="49">
        <f>ROUND((3328*$T$1),0)*1.05</f>
        <v>3494.4</v>
      </c>
      <c r="P1123" s="49">
        <f>ROUND((3468*$T$1),0)*1.05</f>
        <v>3641.4</v>
      </c>
      <c r="Q1123" s="49">
        <f>ROUND((3701*$T$1),0)*1.05</f>
        <v>3886.05</v>
      </c>
    </row>
    <row r="1124" spans="1:17" ht="15" customHeight="1" x14ac:dyDescent="0.3">
      <c r="A1124" s="42"/>
      <c r="B1124" s="43" t="s">
        <v>115</v>
      </c>
      <c r="C1124" s="44" t="s">
        <v>45</v>
      </c>
      <c r="D1124" s="45" t="s">
        <v>64</v>
      </c>
      <c r="E1124" s="46" t="s">
        <v>47</v>
      </c>
      <c r="F1124" s="47" t="s">
        <v>58</v>
      </c>
      <c r="G1124" s="46" t="s">
        <v>48</v>
      </c>
      <c r="H1124" s="47" t="s">
        <v>665</v>
      </c>
      <c r="I1124" s="48">
        <v>11.5</v>
      </c>
      <c r="J1124" s="49">
        <f>ROUND((2616*$T$1),0)*1.05</f>
        <v>2746.8</v>
      </c>
      <c r="K1124" s="49">
        <f>ROUND((2907*$T$1),0)*1.05</f>
        <v>3052.35</v>
      </c>
      <c r="L1124" s="49">
        <f>ROUND((2970*$T$1),0)*1.05</f>
        <v>3118.5</v>
      </c>
      <c r="M1124" s="49">
        <f>ROUND((3044*$T$1),0)*1.05</f>
        <v>3196.2000000000003</v>
      </c>
      <c r="N1124" s="49">
        <f>ROUND((3118*$T$1),0)*1.05</f>
        <v>3273.9</v>
      </c>
      <c r="O1124" s="49">
        <f>ROUND((3163*$T$1),0)*1.05</f>
        <v>3321.15</v>
      </c>
      <c r="P1124" s="49">
        <f>ROUND((3295*$T$1),0)*1.05</f>
        <v>3459.75</v>
      </c>
      <c r="Q1124" s="49">
        <f>ROUND((3516*$T$1),0)*1.05</f>
        <v>3691.8</v>
      </c>
    </row>
    <row r="1125" spans="1:17" ht="15" customHeight="1" x14ac:dyDescent="0.3">
      <c r="A1125" s="42"/>
      <c r="B1125" s="43"/>
      <c r="C1125" s="44"/>
      <c r="D1125" s="45"/>
      <c r="E1125" s="46"/>
      <c r="F1125" s="47"/>
      <c r="G1125" s="46"/>
      <c r="H1125" s="47"/>
      <c r="I1125" s="48"/>
      <c r="J1125" s="49"/>
      <c r="K1125" s="49"/>
      <c r="L1125" s="49"/>
      <c r="M1125" s="49"/>
      <c r="N1125" s="49"/>
      <c r="O1125" s="49"/>
      <c r="P1125" s="49"/>
      <c r="Q1125" s="49"/>
    </row>
    <row r="1126" spans="1:17" ht="15" customHeight="1" x14ac:dyDescent="0.3">
      <c r="A1126" s="42"/>
      <c r="B1126" s="43" t="s">
        <v>670</v>
      </c>
      <c r="C1126" s="44" t="s">
        <v>45</v>
      </c>
      <c r="D1126" s="45" t="s">
        <v>661</v>
      </c>
      <c r="E1126" s="46" t="s">
        <v>47</v>
      </c>
      <c r="F1126" s="47" t="s">
        <v>58</v>
      </c>
      <c r="G1126" s="46" t="s">
        <v>48</v>
      </c>
      <c r="H1126" s="47" t="s">
        <v>662</v>
      </c>
      <c r="I1126" s="48">
        <v>13</v>
      </c>
      <c r="J1126" s="49">
        <f>ROUND((2989*$T$1),0)*1.05</f>
        <v>3138.4500000000003</v>
      </c>
      <c r="K1126" s="49">
        <f>ROUND((3321*$T$1),0)*1.05</f>
        <v>3487.05</v>
      </c>
      <c r="L1126" s="49">
        <f>ROUND((3394*$T$1),0)*1.05</f>
        <v>3563.7000000000003</v>
      </c>
      <c r="M1126" s="49">
        <f>ROUND((3478*$T$1),0)*1.05</f>
        <v>3651.9</v>
      </c>
      <c r="N1126" s="49">
        <f>ROUND((3556*$T$1),0)*1.05</f>
        <v>3733.8</v>
      </c>
      <c r="O1126" s="49">
        <f>ROUND((3618*$T$1),0)*1.05</f>
        <v>3798.9</v>
      </c>
      <c r="P1126" s="49">
        <f>ROUND((3764*$T$1),0)*1.05</f>
        <v>3952.2000000000003</v>
      </c>
      <c r="Q1126" s="49">
        <f>ROUND((4016*$T$1),0)*1.05</f>
        <v>4216.8</v>
      </c>
    </row>
    <row r="1127" spans="1:17" ht="15" customHeight="1" x14ac:dyDescent="0.3">
      <c r="A1127" s="42"/>
      <c r="B1127" s="43" t="s">
        <v>671</v>
      </c>
      <c r="C1127" s="44" t="s">
        <v>45</v>
      </c>
      <c r="D1127" s="45" t="s">
        <v>664</v>
      </c>
      <c r="E1127" s="46" t="s">
        <v>47</v>
      </c>
      <c r="F1127" s="47" t="s">
        <v>58</v>
      </c>
      <c r="G1127" s="46" t="s">
        <v>48</v>
      </c>
      <c r="H1127" s="47" t="s">
        <v>665</v>
      </c>
      <c r="I1127" s="48">
        <v>13</v>
      </c>
      <c r="J1127" s="49">
        <f>ROUND((2929*$T$1),0)*1.05</f>
        <v>3075.4500000000003</v>
      </c>
      <c r="K1127" s="49">
        <f>ROUND((3255*$T$1),0)*1.05</f>
        <v>3417.75</v>
      </c>
      <c r="L1127" s="49">
        <f>ROUND((3326*$T$1),0)*1.05</f>
        <v>3492.3</v>
      </c>
      <c r="M1127" s="49">
        <f>ROUND((3409*$T$1),0)*1.05</f>
        <v>3579.4500000000003</v>
      </c>
      <c r="N1127" s="49">
        <f>ROUND((3490*$T$1),0)*1.05</f>
        <v>3664.5</v>
      </c>
      <c r="O1127" s="49">
        <f>ROUND((3540*$T$1),0)*1.05</f>
        <v>3717</v>
      </c>
      <c r="P1127" s="49">
        <f>ROUND((3689*$T$1),0)*1.05</f>
        <v>3873.4500000000003</v>
      </c>
      <c r="Q1127" s="49">
        <f>ROUND((3935*$T$1),0)*1.05</f>
        <v>4131.75</v>
      </c>
    </row>
    <row r="1128" spans="1:17" ht="15" customHeight="1" x14ac:dyDescent="0.3">
      <c r="A1128" s="42"/>
      <c r="B1128" s="43" t="s">
        <v>672</v>
      </c>
      <c r="C1128" s="44" t="s">
        <v>45</v>
      </c>
      <c r="D1128" s="45" t="s">
        <v>629</v>
      </c>
      <c r="E1128" s="46" t="s">
        <v>47</v>
      </c>
      <c r="F1128" s="47" t="s">
        <v>58</v>
      </c>
      <c r="G1128" s="46" t="s">
        <v>48</v>
      </c>
      <c r="H1128" s="47" t="s">
        <v>665</v>
      </c>
      <c r="I1128" s="48">
        <v>12.4</v>
      </c>
      <c r="J1128" s="49">
        <f>ROUND((2839*$T$1),0)*1.05</f>
        <v>2980.9500000000003</v>
      </c>
      <c r="K1128" s="49">
        <f>ROUND((3156*$T$1),0)*1.05</f>
        <v>3313.8</v>
      </c>
      <c r="L1128" s="49">
        <f>ROUND((3223*$T$1),0)*1.05</f>
        <v>3384.15</v>
      </c>
      <c r="M1128" s="49">
        <f>ROUND((3304*$T$1),0)*1.05</f>
        <v>3469.2000000000003</v>
      </c>
      <c r="N1128" s="49">
        <f>ROUND((3383*$T$1),0)*1.05</f>
        <v>3552.15</v>
      </c>
      <c r="O1128" s="49">
        <f>ROUND((3432*$T$1),0)*1.05</f>
        <v>3603.6000000000004</v>
      </c>
      <c r="P1128" s="49">
        <f>ROUND((3575*$T$1),0)*1.05</f>
        <v>3753.75</v>
      </c>
      <c r="Q1128" s="49">
        <f>ROUND((3815*$T$1),0)*1.05</f>
        <v>4005.75</v>
      </c>
    </row>
    <row r="1129" spans="1:17" ht="15" customHeight="1" x14ac:dyDescent="0.3">
      <c r="A1129" s="42"/>
      <c r="B1129" s="43" t="s">
        <v>673</v>
      </c>
      <c r="C1129" s="44" t="s">
        <v>45</v>
      </c>
      <c r="D1129" s="45" t="s">
        <v>668</v>
      </c>
      <c r="E1129" s="46" t="s">
        <v>47</v>
      </c>
      <c r="F1129" s="47" t="s">
        <v>58</v>
      </c>
      <c r="G1129" s="46" t="s">
        <v>48</v>
      </c>
      <c r="H1129" s="47" t="s">
        <v>665</v>
      </c>
      <c r="I1129" s="48">
        <v>11.8</v>
      </c>
      <c r="J1129" s="49">
        <f>ROUND((2698*$T$1),0)*1.05</f>
        <v>2832.9</v>
      </c>
      <c r="K1129" s="49">
        <f>ROUND((2997*$T$1),0)*1.05</f>
        <v>3146.85</v>
      </c>
      <c r="L1129" s="49">
        <f>ROUND((3062*$T$1),0)*1.05</f>
        <v>3215.1</v>
      </c>
      <c r="M1129" s="49">
        <f>ROUND((3138*$T$1),0)*1.05</f>
        <v>3294.9</v>
      </c>
      <c r="N1129" s="49">
        <f>ROUND((3214*$T$1),0)*1.05</f>
        <v>3374.7000000000003</v>
      </c>
      <c r="O1129" s="49">
        <f>ROUND((3260*$T$1),0)*1.05</f>
        <v>3423</v>
      </c>
      <c r="P1129" s="49">
        <f>ROUND((3397*$T$1),0)*1.05</f>
        <v>3566.8500000000004</v>
      </c>
      <c r="Q1129" s="49">
        <f>ROUND((3625*$T$1),0)*1.05</f>
        <v>3806.25</v>
      </c>
    </row>
    <row r="1130" spans="1:17" ht="15" customHeight="1" x14ac:dyDescent="0.3">
      <c r="A1130" s="42"/>
      <c r="B1130" s="43" t="s">
        <v>674</v>
      </c>
      <c r="C1130" s="44" t="s">
        <v>45</v>
      </c>
      <c r="D1130" s="45" t="s">
        <v>58</v>
      </c>
      <c r="E1130" s="46" t="s">
        <v>47</v>
      </c>
      <c r="F1130" s="47" t="s">
        <v>58</v>
      </c>
      <c r="G1130" s="46" t="s">
        <v>48</v>
      </c>
      <c r="H1130" s="47" t="s">
        <v>665</v>
      </c>
      <c r="I1130" s="48">
        <v>12.7</v>
      </c>
      <c r="J1130" s="49">
        <f>ROUND((2899*$T$1),0)*1.05</f>
        <v>3043.9500000000003</v>
      </c>
      <c r="K1130" s="49">
        <f>ROUND((3221*$T$1),0)*1.05</f>
        <v>3382.05</v>
      </c>
      <c r="L1130" s="49">
        <f>ROUND((3291*$T$1),0)*1.05</f>
        <v>3455.55</v>
      </c>
      <c r="M1130" s="49">
        <f>ROUND((3373*$T$1),0)*1.05</f>
        <v>3541.65</v>
      </c>
      <c r="N1130" s="49">
        <f>ROUND((3455*$T$1),0)*1.05</f>
        <v>3627.75</v>
      </c>
      <c r="O1130" s="49">
        <f>ROUND((3504*$T$1),0)*1.05</f>
        <v>3679.2000000000003</v>
      </c>
      <c r="P1130" s="49">
        <f>ROUND((3651*$T$1),0)*1.05</f>
        <v>3833.55</v>
      </c>
      <c r="Q1130" s="49">
        <f>ROUND((3895*$T$1),0)*1.05</f>
        <v>4089.75</v>
      </c>
    </row>
    <row r="1131" spans="1:17" ht="15" customHeight="1" x14ac:dyDescent="0.3">
      <c r="A1131" s="42"/>
      <c r="B1131" s="43" t="s">
        <v>675</v>
      </c>
      <c r="C1131" s="44" t="s">
        <v>45</v>
      </c>
      <c r="D1131" s="45" t="s">
        <v>60</v>
      </c>
      <c r="E1131" s="46" t="s">
        <v>47</v>
      </c>
      <c r="F1131" s="47" t="s">
        <v>58</v>
      </c>
      <c r="G1131" s="46" t="s">
        <v>48</v>
      </c>
      <c r="H1131" s="47" t="s">
        <v>665</v>
      </c>
      <c r="I1131" s="48">
        <v>12.7</v>
      </c>
      <c r="J1131" s="49">
        <f>ROUND((2842*$T$1),0)*1.05</f>
        <v>2984.1</v>
      </c>
      <c r="K1131" s="49">
        <f>ROUND((3610*$T$1),0)*1.05</f>
        <v>3790.5</v>
      </c>
      <c r="L1131" s="49">
        <f>ROUND((3226*$T$1),0)*1.05</f>
        <v>3387.3</v>
      </c>
      <c r="M1131" s="49">
        <f>ROUND((3306*$T$1),0)*1.05</f>
        <v>3471.3</v>
      </c>
      <c r="N1131" s="49">
        <f>ROUND((3386*$T$1),0)*1.05</f>
        <v>3555.3</v>
      </c>
      <c r="O1131" s="49">
        <f>ROUND((3434*$T$1),0)*1.05</f>
        <v>3605.7000000000003</v>
      </c>
      <c r="P1131" s="49">
        <f>ROUND((3578*$T$1),0)*1.05</f>
        <v>3756.9</v>
      </c>
      <c r="Q1131" s="49">
        <f>ROUND((3817*$T$1),0)*1.05</f>
        <v>4007.8500000000004</v>
      </c>
    </row>
    <row r="1132" spans="1:17" ht="15" customHeight="1" x14ac:dyDescent="0.3">
      <c r="A1132" s="42"/>
      <c r="B1132" s="43" t="s">
        <v>676</v>
      </c>
      <c r="C1132" s="44" t="s">
        <v>45</v>
      </c>
      <c r="D1132" s="45" t="s">
        <v>62</v>
      </c>
      <c r="E1132" s="46" t="s">
        <v>47</v>
      </c>
      <c r="F1132" s="47" t="s">
        <v>58</v>
      </c>
      <c r="G1132" s="46" t="s">
        <v>48</v>
      </c>
      <c r="H1132" s="47" t="s">
        <v>665</v>
      </c>
      <c r="I1132" s="48">
        <v>12.1</v>
      </c>
      <c r="J1132" s="49">
        <f>ROUND((2754*$T$1),0)*1.05</f>
        <v>2891.7000000000003</v>
      </c>
      <c r="K1132" s="49">
        <f>ROUND((3060*$T$1),0)*1.05</f>
        <v>3213</v>
      </c>
      <c r="L1132" s="49">
        <f>ROUND((3127*$T$1),0)*1.05</f>
        <v>3283.3500000000004</v>
      </c>
      <c r="M1132" s="49">
        <f>ROUND((3205*$T$1),0)*1.05</f>
        <v>3365.25</v>
      </c>
      <c r="N1132" s="49">
        <f>ROUND((3282*$T$1),0)*1.05</f>
        <v>3446.1000000000004</v>
      </c>
      <c r="O1132" s="49">
        <f>ROUND((3328*$T$1),0)*1.05</f>
        <v>3494.4</v>
      </c>
      <c r="P1132" s="49">
        <f>ROUND((3468*$T$1),0)*1.05</f>
        <v>3641.4</v>
      </c>
      <c r="Q1132" s="49">
        <f>ROUND((3701*$T$1),0)*1.05</f>
        <v>3886.05</v>
      </c>
    </row>
    <row r="1133" spans="1:17" ht="15" customHeight="1" x14ac:dyDescent="0.3">
      <c r="A1133" s="42"/>
      <c r="B1133" s="43" t="s">
        <v>677</v>
      </c>
      <c r="C1133" s="44" t="s">
        <v>45</v>
      </c>
      <c r="D1133" s="45" t="s">
        <v>64</v>
      </c>
      <c r="E1133" s="46" t="s">
        <v>47</v>
      </c>
      <c r="F1133" s="47" t="s">
        <v>58</v>
      </c>
      <c r="G1133" s="46" t="s">
        <v>48</v>
      </c>
      <c r="H1133" s="47" t="s">
        <v>665</v>
      </c>
      <c r="I1133" s="48">
        <v>11.5</v>
      </c>
      <c r="J1133" s="49">
        <f>ROUND((2616*$T$1),0)*1.05</f>
        <v>2746.8</v>
      </c>
      <c r="K1133" s="49">
        <f>ROUND((2907*$T$1),0)*1.05</f>
        <v>3052.35</v>
      </c>
      <c r="L1133" s="49">
        <f>ROUND((2970*$T$1),0)*1.05</f>
        <v>3118.5</v>
      </c>
      <c r="M1133" s="49">
        <f>ROUND((3044*$T$1),0)*1.05</f>
        <v>3196.2000000000003</v>
      </c>
      <c r="N1133" s="49">
        <f>ROUND((3118*$T$1),0)*1.05</f>
        <v>3273.9</v>
      </c>
      <c r="O1133" s="49">
        <f>ROUND((3163*$T$1),0)*1.05</f>
        <v>3321.15</v>
      </c>
      <c r="P1133" s="49">
        <f>ROUND((3295*$T$1),0)*1.05</f>
        <v>3459.75</v>
      </c>
      <c r="Q1133" s="49">
        <f>ROUND((3516*$T$1),0)*1.05</f>
        <v>3691.8</v>
      </c>
    </row>
    <row r="1134" spans="1:17" ht="15" customHeight="1" x14ac:dyDescent="0.3">
      <c r="A1134" s="42"/>
      <c r="B1134" s="43"/>
      <c r="C1134" s="44"/>
      <c r="D1134" s="45"/>
      <c r="E1134" s="46"/>
      <c r="F1134" s="47"/>
      <c r="G1134" s="46"/>
      <c r="H1134" s="47"/>
      <c r="I1134" s="48"/>
      <c r="J1134" s="49"/>
      <c r="K1134" s="49"/>
      <c r="L1134" s="49"/>
      <c r="M1134" s="49"/>
      <c r="N1134" s="49"/>
      <c r="O1134" s="49"/>
      <c r="P1134" s="49"/>
      <c r="Q1134" s="49"/>
    </row>
    <row r="1135" spans="1:17" ht="26.25" x14ac:dyDescent="0.4">
      <c r="A1135" s="42"/>
      <c r="B1135" s="152" t="s">
        <v>678</v>
      </c>
      <c r="C1135" s="153"/>
      <c r="D1135" s="153"/>
      <c r="E1135" s="153"/>
      <c r="F1135" s="153"/>
      <c r="G1135" s="153"/>
      <c r="H1135" s="153"/>
      <c r="I1135" s="153"/>
      <c r="J1135" s="154"/>
      <c r="K1135" s="154"/>
      <c r="L1135" s="154"/>
      <c r="M1135" s="154"/>
      <c r="N1135" s="154"/>
      <c r="O1135" s="154"/>
      <c r="P1135" s="154"/>
      <c r="Q1135" s="154"/>
    </row>
    <row r="1136" spans="1:17" ht="15" customHeight="1" x14ac:dyDescent="0.3">
      <c r="A1136" s="42"/>
      <c r="B1136" s="43" t="s">
        <v>679</v>
      </c>
      <c r="C1136" s="44" t="s">
        <v>45</v>
      </c>
      <c r="D1136" s="45" t="s">
        <v>476</v>
      </c>
      <c r="E1136" s="46" t="s">
        <v>47</v>
      </c>
      <c r="F1136" s="47">
        <v>1</v>
      </c>
      <c r="G1136" s="46" t="s">
        <v>48</v>
      </c>
      <c r="H1136" s="47">
        <v>0.63</v>
      </c>
      <c r="I1136" s="48">
        <v>18</v>
      </c>
      <c r="J1136" s="49">
        <f>ROUND((3746*$T$1),0)*1.05</f>
        <v>3933.3</v>
      </c>
      <c r="K1136" s="49">
        <f>ROUND((4162*$T$1),0)*1.05</f>
        <v>4370.1000000000004</v>
      </c>
      <c r="L1136" s="49">
        <f>ROUND((4264*$T$1),0)*1.05</f>
        <v>4477.2</v>
      </c>
      <c r="M1136" s="49">
        <f>ROUND((4383*$T$1),0)*1.05</f>
        <v>4602.1500000000005</v>
      </c>
      <c r="N1136" s="49">
        <f>ROUND((4501*$T$1),0)*1.05</f>
        <v>4726.05</v>
      </c>
      <c r="O1136" s="49">
        <f>ROUND((4572*$T$1),0)*1.05</f>
        <v>4800.6000000000004</v>
      </c>
      <c r="P1136" s="49">
        <f>ROUND((4786*$T$1),0)*1.05</f>
        <v>5025.3</v>
      </c>
      <c r="Q1136" s="49">
        <f>ROUND((5141*$T$1),0)*1.05</f>
        <v>5398.05</v>
      </c>
    </row>
    <row r="1137" spans="1:17" ht="15" customHeight="1" x14ac:dyDescent="0.3">
      <c r="A1137" s="42"/>
      <c r="B1137" s="43" t="s">
        <v>680</v>
      </c>
      <c r="C1137" s="44" t="s">
        <v>45</v>
      </c>
      <c r="D1137" s="45" t="s">
        <v>481</v>
      </c>
      <c r="E1137" s="46" t="s">
        <v>47</v>
      </c>
      <c r="F1137" s="47">
        <v>1</v>
      </c>
      <c r="G1137" s="46" t="s">
        <v>48</v>
      </c>
      <c r="H1137" s="47">
        <v>0.63</v>
      </c>
      <c r="I1137" s="48">
        <v>14.3</v>
      </c>
      <c r="J1137" s="49">
        <f>ROUND((2966*$T$1),0)*1.05</f>
        <v>3114.3</v>
      </c>
      <c r="K1137" s="49">
        <f>ROUND((3295*$T$1),0)*1.05</f>
        <v>3459.75</v>
      </c>
      <c r="L1137" s="49">
        <f>ROUND((3376*$T$1),0)*1.05</f>
        <v>3544.8</v>
      </c>
      <c r="M1137" s="49">
        <f>ROUND((3470*$T$1),0)*1.05</f>
        <v>3643.5</v>
      </c>
      <c r="N1137" s="49">
        <f>ROUND((3564*$T$1),0)*1.05</f>
        <v>3742.2000000000003</v>
      </c>
      <c r="O1137" s="49">
        <f>ROUND((3619*$T$1),0)*1.05</f>
        <v>3799.9500000000003</v>
      </c>
      <c r="P1137" s="49">
        <f>ROUND((3789*$T$1),0)*1.05</f>
        <v>3978.4500000000003</v>
      </c>
      <c r="Q1137" s="49">
        <f>ROUND((4070*$T$1),0)*1.05</f>
        <v>4273.5</v>
      </c>
    </row>
    <row r="1138" spans="1:17" ht="15" customHeight="1" x14ac:dyDescent="0.3">
      <c r="A1138" s="42"/>
      <c r="B1138" s="43" t="s">
        <v>680</v>
      </c>
      <c r="C1138" s="44" t="s">
        <v>45</v>
      </c>
      <c r="D1138" s="45" t="s">
        <v>479</v>
      </c>
      <c r="E1138" s="46" t="s">
        <v>47</v>
      </c>
      <c r="F1138" s="47">
        <v>1</v>
      </c>
      <c r="G1138" s="46" t="s">
        <v>48</v>
      </c>
      <c r="H1138" s="47">
        <v>0.63</v>
      </c>
      <c r="I1138" s="48">
        <v>15</v>
      </c>
      <c r="J1138" s="49">
        <f>ROUND((3121*$T$1),0)*1.05</f>
        <v>3277.05</v>
      </c>
      <c r="K1138" s="49">
        <f>ROUND((3468*$T$1),0)*1.05</f>
        <v>3641.4</v>
      </c>
      <c r="L1138" s="49">
        <f>ROUND((3554*$T$1),0)*1.05</f>
        <v>3731.7000000000003</v>
      </c>
      <c r="M1138" s="49">
        <f>ROUND((3652*$T$1),0)*1.05</f>
        <v>3834.6000000000004</v>
      </c>
      <c r="N1138" s="49">
        <f>ROUND((3751*$T$1),0)*1.05</f>
        <v>3938.55</v>
      </c>
      <c r="O1138" s="49">
        <f>ROUND((3810*$T$1),0)*1.05</f>
        <v>4000.5</v>
      </c>
      <c r="P1138" s="49">
        <f>ROUND((3988*$T$1),0)*1.05</f>
        <v>4187.4000000000005</v>
      </c>
      <c r="Q1138" s="49">
        <f>ROUND((4284*$T$1),0)*1.05</f>
        <v>4498.2</v>
      </c>
    </row>
    <row r="1139" spans="1:17" ht="15" customHeight="1" x14ac:dyDescent="0.3">
      <c r="A1139" s="42"/>
      <c r="B1139" s="43" t="s">
        <v>681</v>
      </c>
      <c r="C1139" s="44" t="s">
        <v>45</v>
      </c>
      <c r="D1139" s="45" t="s">
        <v>385</v>
      </c>
      <c r="E1139" s="46" t="s">
        <v>47</v>
      </c>
      <c r="F1139" s="47">
        <v>1</v>
      </c>
      <c r="G1139" s="46" t="s">
        <v>48</v>
      </c>
      <c r="H1139" s="47">
        <v>0.63</v>
      </c>
      <c r="I1139" s="48">
        <v>13.2</v>
      </c>
      <c r="J1139" s="49">
        <f>ROUND((2747*$T$1),0)*1.05</f>
        <v>2884.35</v>
      </c>
      <c r="K1139" s="49">
        <f>ROUND((3052*$T$1),0)*1.05</f>
        <v>3204.6</v>
      </c>
      <c r="L1139" s="49">
        <f>ROUND((3127*$T$1),0)*1.05</f>
        <v>3283.3500000000004</v>
      </c>
      <c r="M1139" s="49">
        <f>ROUND((3214*$T$1),0)*1.05</f>
        <v>3374.7000000000003</v>
      </c>
      <c r="N1139" s="49">
        <f>ROUND((3302*$T$1),0)*1.05</f>
        <v>3467.1000000000004</v>
      </c>
      <c r="O1139" s="49">
        <f>ROUND((3352*$T$1),0)*1.05</f>
        <v>3519.6000000000004</v>
      </c>
      <c r="P1139" s="49">
        <f>ROUND((3510*$T$1),0)*1.05</f>
        <v>3685.5</v>
      </c>
      <c r="Q1139" s="49">
        <f>ROUND((3770*$T$1),0)*1.05</f>
        <v>3958.5</v>
      </c>
    </row>
    <row r="1140" spans="1:17" ht="15" customHeight="1" x14ac:dyDescent="0.3">
      <c r="A1140" s="42"/>
      <c r="B1140" s="43"/>
      <c r="C1140" s="44"/>
      <c r="D1140" s="45"/>
      <c r="E1140" s="46"/>
      <c r="F1140" s="47"/>
      <c r="G1140" s="46"/>
      <c r="H1140" s="47"/>
      <c r="I1140" s="48"/>
      <c r="J1140" s="49"/>
      <c r="K1140" s="49"/>
      <c r="L1140" s="49"/>
      <c r="M1140" s="49"/>
      <c r="N1140" s="49"/>
      <c r="O1140" s="49"/>
      <c r="P1140" s="49"/>
      <c r="Q1140" s="49"/>
    </row>
    <row r="1141" spans="1:17" ht="15" customHeight="1" x14ac:dyDescent="0.3">
      <c r="A1141" s="42"/>
      <c r="B1141" s="43" t="s">
        <v>682</v>
      </c>
      <c r="C1141" s="44" t="s">
        <v>45</v>
      </c>
      <c r="D1141" s="45" t="s">
        <v>476</v>
      </c>
      <c r="E1141" s="46" t="s">
        <v>47</v>
      </c>
      <c r="F1141" s="47">
        <v>1</v>
      </c>
      <c r="G1141" s="46" t="s">
        <v>48</v>
      </c>
      <c r="H1141" s="47">
        <v>0.63</v>
      </c>
      <c r="I1141" s="48">
        <v>18</v>
      </c>
      <c r="J1141" s="49">
        <f>ROUND((3746*$T$1),0)*1.05</f>
        <v>3933.3</v>
      </c>
      <c r="K1141" s="49">
        <f>ROUND((4162*$T$1),0)*1.05</f>
        <v>4370.1000000000004</v>
      </c>
      <c r="L1141" s="49">
        <f>ROUND((4264*$T$1),0)*1.05</f>
        <v>4477.2</v>
      </c>
      <c r="M1141" s="49">
        <f>ROUND((4383*$T$1),0)*1.05</f>
        <v>4602.1500000000005</v>
      </c>
      <c r="N1141" s="49">
        <f>ROUND((4501*$T$1),0)*1.05</f>
        <v>4726.05</v>
      </c>
      <c r="O1141" s="49">
        <f>ROUND((4572*$T$1),0)*1.05</f>
        <v>4800.6000000000004</v>
      </c>
      <c r="P1141" s="49">
        <f>ROUND((4786*$T$1),0)*1.05</f>
        <v>5025.3</v>
      </c>
      <c r="Q1141" s="49">
        <f>ROUND((5141*$T$1),0)*1.05</f>
        <v>5398.05</v>
      </c>
    </row>
    <row r="1142" spans="1:17" ht="15" customHeight="1" x14ac:dyDescent="0.3">
      <c r="A1142" s="42"/>
      <c r="B1142" s="43" t="s">
        <v>683</v>
      </c>
      <c r="C1142" s="44" t="s">
        <v>45</v>
      </c>
      <c r="D1142" s="45" t="s">
        <v>481</v>
      </c>
      <c r="E1142" s="46" t="s">
        <v>47</v>
      </c>
      <c r="F1142" s="47">
        <v>1</v>
      </c>
      <c r="G1142" s="46" t="s">
        <v>48</v>
      </c>
      <c r="H1142" s="47">
        <v>0.63</v>
      </c>
      <c r="I1142" s="48">
        <v>14.3</v>
      </c>
      <c r="J1142" s="49">
        <f>ROUND((2966*$T$1),0)*1.05</f>
        <v>3114.3</v>
      </c>
      <c r="K1142" s="49">
        <f>ROUND((3295*$T$1),0)*1.05</f>
        <v>3459.75</v>
      </c>
      <c r="L1142" s="49">
        <f>ROUND((3376*$T$1),0)*1.05</f>
        <v>3544.8</v>
      </c>
      <c r="M1142" s="49">
        <f>ROUND((3470*$T$1),0)*1.05</f>
        <v>3643.5</v>
      </c>
      <c r="N1142" s="49">
        <f>ROUND((3564*$T$1),0)*1.05</f>
        <v>3742.2000000000003</v>
      </c>
      <c r="O1142" s="49">
        <f>ROUND((3619*$T$1),0)*1.05</f>
        <v>3799.9500000000003</v>
      </c>
      <c r="P1142" s="49">
        <f>ROUND((3789*$T$1),0)*1.05</f>
        <v>3978.4500000000003</v>
      </c>
      <c r="Q1142" s="49">
        <f>ROUND((4070*$T$1),0)*1.05</f>
        <v>4273.5</v>
      </c>
    </row>
    <row r="1143" spans="1:17" ht="15" customHeight="1" x14ac:dyDescent="0.3">
      <c r="A1143" s="42"/>
      <c r="B1143" s="43" t="s">
        <v>683</v>
      </c>
      <c r="C1143" s="44" t="s">
        <v>45</v>
      </c>
      <c r="D1143" s="45" t="s">
        <v>479</v>
      </c>
      <c r="E1143" s="46" t="s">
        <v>47</v>
      </c>
      <c r="F1143" s="47">
        <v>1</v>
      </c>
      <c r="G1143" s="46" t="s">
        <v>48</v>
      </c>
      <c r="H1143" s="47">
        <v>0.63</v>
      </c>
      <c r="I1143" s="48">
        <v>15</v>
      </c>
      <c r="J1143" s="49">
        <f>ROUND((3121*$T$1),0)*1.05</f>
        <v>3277.05</v>
      </c>
      <c r="K1143" s="49">
        <f>ROUND((3468*$T$1),0)*1.05</f>
        <v>3641.4</v>
      </c>
      <c r="L1143" s="49">
        <f>ROUND((3554*$T$1),0)*1.05</f>
        <v>3731.7000000000003</v>
      </c>
      <c r="M1143" s="49">
        <f>ROUND((3652*$T$1),0)*1.05</f>
        <v>3834.6000000000004</v>
      </c>
      <c r="N1143" s="49">
        <f>ROUND((3751*$T$1),0)*1.05</f>
        <v>3938.55</v>
      </c>
      <c r="O1143" s="49">
        <f>ROUND((3810*$T$1),0)*1.05</f>
        <v>4000.5</v>
      </c>
      <c r="P1143" s="49">
        <f>ROUND((3988*$T$1),0)*1.05</f>
        <v>4187.4000000000005</v>
      </c>
      <c r="Q1143" s="49">
        <f>ROUND((4284*$T$1),0)*1.05</f>
        <v>4498.2</v>
      </c>
    </row>
    <row r="1144" spans="1:17" ht="15" customHeight="1" x14ac:dyDescent="0.3">
      <c r="A1144" s="42"/>
      <c r="B1144" s="43" t="s">
        <v>684</v>
      </c>
      <c r="C1144" s="44" t="s">
        <v>45</v>
      </c>
      <c r="D1144" s="45" t="s">
        <v>385</v>
      </c>
      <c r="E1144" s="46" t="s">
        <v>47</v>
      </c>
      <c r="F1144" s="47">
        <v>1</v>
      </c>
      <c r="G1144" s="46" t="s">
        <v>48</v>
      </c>
      <c r="H1144" s="47">
        <v>0.63</v>
      </c>
      <c r="I1144" s="48">
        <v>13.2</v>
      </c>
      <c r="J1144" s="49">
        <f>ROUND((2747*$T$1),0)*1.05</f>
        <v>2884.35</v>
      </c>
      <c r="K1144" s="49">
        <f>ROUND((3052*$T$1),0)*1.05</f>
        <v>3204.6</v>
      </c>
      <c r="L1144" s="49">
        <f>ROUND((3127*$T$1),0)*1.05</f>
        <v>3283.3500000000004</v>
      </c>
      <c r="M1144" s="49">
        <f>ROUND((3214*$T$1),0)*1.05</f>
        <v>3374.7000000000003</v>
      </c>
      <c r="N1144" s="49">
        <f>ROUND((3302*$T$1),0)*1.05</f>
        <v>3467.1000000000004</v>
      </c>
      <c r="O1144" s="49">
        <f>ROUND((3352*$T$1),0)*1.05</f>
        <v>3519.6000000000004</v>
      </c>
      <c r="P1144" s="49">
        <f>ROUND((3510*$T$1),0)*1.05</f>
        <v>3685.5</v>
      </c>
      <c r="Q1144" s="49">
        <f>ROUND((3770*$T$1),0)*1.05</f>
        <v>3958.5</v>
      </c>
    </row>
    <row r="1145" spans="1:17" ht="15" customHeight="1" x14ac:dyDescent="0.3">
      <c r="A1145" s="42"/>
      <c r="B1145" s="43"/>
      <c r="C1145" s="44"/>
      <c r="D1145" s="45"/>
      <c r="E1145" s="46"/>
      <c r="F1145" s="47"/>
      <c r="G1145" s="46"/>
      <c r="H1145" s="47"/>
      <c r="I1145" s="48"/>
      <c r="J1145" s="49"/>
      <c r="K1145" s="49"/>
      <c r="L1145" s="49"/>
      <c r="M1145" s="49"/>
      <c r="N1145" s="49"/>
      <c r="O1145" s="49"/>
      <c r="P1145" s="49"/>
      <c r="Q1145" s="49"/>
    </row>
    <row r="1146" spans="1:17" ht="15" customHeight="1" x14ac:dyDescent="0.3">
      <c r="A1146" s="42"/>
      <c r="B1146" s="43" t="s">
        <v>685</v>
      </c>
      <c r="C1146" s="44" t="s">
        <v>45</v>
      </c>
      <c r="D1146" s="45" t="s">
        <v>661</v>
      </c>
      <c r="E1146" s="46" t="s">
        <v>47</v>
      </c>
      <c r="F1146" s="47">
        <v>1</v>
      </c>
      <c r="G1146" s="46" t="s">
        <v>48</v>
      </c>
      <c r="H1146" s="47">
        <v>0.63</v>
      </c>
      <c r="I1146" s="48">
        <v>12</v>
      </c>
      <c r="J1146" s="49">
        <f>ROUND((2571*$T$1),0)*1.05</f>
        <v>2699.55</v>
      </c>
      <c r="K1146" s="49">
        <f>ROUND((2857*$T$1),0)*1.05</f>
        <v>2999.85</v>
      </c>
      <c r="L1146" s="49">
        <f>ROUND((2923*$T$1),0)*1.05</f>
        <v>3069.15</v>
      </c>
      <c r="M1146" s="49">
        <f>ROUND((3000*$T$1),0)*1.05</f>
        <v>3150</v>
      </c>
      <c r="N1146" s="49">
        <f>ROUND((3077*$T$1),0)*1.05</f>
        <v>3230.8500000000004</v>
      </c>
      <c r="O1146" s="49">
        <f>ROUND((3123*$T$1),0)*1.05</f>
        <v>3279.15</v>
      </c>
      <c r="P1146" s="49">
        <f>ROUND((3261*$T$1),0)*1.05</f>
        <v>3424.05</v>
      </c>
      <c r="Q1146" s="49">
        <f>ROUND((3493*$T$1),0)*1.05</f>
        <v>3667.65</v>
      </c>
    </row>
    <row r="1147" spans="1:17" ht="15" customHeight="1" x14ac:dyDescent="0.3">
      <c r="A1147" s="42"/>
      <c r="B1147" s="43" t="s">
        <v>686</v>
      </c>
      <c r="C1147" s="44" t="s">
        <v>45</v>
      </c>
      <c r="D1147" s="45" t="s">
        <v>58</v>
      </c>
      <c r="E1147" s="46" t="s">
        <v>47</v>
      </c>
      <c r="F1147" s="47">
        <v>1</v>
      </c>
      <c r="G1147" s="46" t="s">
        <v>48</v>
      </c>
      <c r="H1147" s="47">
        <v>0.63</v>
      </c>
      <c r="I1147" s="48">
        <v>11.7</v>
      </c>
      <c r="J1147" s="49">
        <f>ROUND((2494*$T$1),0)*1.05</f>
        <v>2618.7000000000003</v>
      </c>
      <c r="K1147" s="49">
        <f>ROUND((2770*$T$1),0)*1.05</f>
        <v>2908.5</v>
      </c>
      <c r="L1147" s="49">
        <f>ROUND((2836*$T$1),0)*1.05</f>
        <v>2977.8</v>
      </c>
      <c r="M1147" s="49">
        <f>ROUND((2911*$T$1),0)*1.05</f>
        <v>3056.55</v>
      </c>
      <c r="N1147" s="49">
        <f>ROUND((2985*$T$1),0)*1.05</f>
        <v>3134.25</v>
      </c>
      <c r="O1147" s="49">
        <f>ROUND((3030*$T$1),0)*1.05</f>
        <v>3181.5</v>
      </c>
      <c r="P1147" s="49">
        <f>ROUND((3164*$T$1),0)*1.05</f>
        <v>3322.2000000000003</v>
      </c>
      <c r="Q1147" s="49">
        <f>ROUND((3388*$T$1),0)*1.05</f>
        <v>3557.4</v>
      </c>
    </row>
    <row r="1148" spans="1:17" ht="15" customHeight="1" x14ac:dyDescent="0.3">
      <c r="A1148" s="42"/>
      <c r="B1148" s="43" t="s">
        <v>687</v>
      </c>
      <c r="C1148" s="44" t="s">
        <v>45</v>
      </c>
      <c r="D1148" s="45" t="s">
        <v>664</v>
      </c>
      <c r="E1148" s="46" t="s">
        <v>47</v>
      </c>
      <c r="F1148" s="47">
        <v>1</v>
      </c>
      <c r="G1148" s="46" t="s">
        <v>48</v>
      </c>
      <c r="H1148" s="47">
        <v>0.63</v>
      </c>
      <c r="I1148" s="48">
        <v>11.9</v>
      </c>
      <c r="J1148" s="49">
        <f>ROUND((2532*$T$1),0)*1.05</f>
        <v>2658.6</v>
      </c>
      <c r="K1148" s="49">
        <f>ROUND((2814*$T$1),0)*1.05</f>
        <v>2954.7000000000003</v>
      </c>
      <c r="L1148" s="49">
        <f>ROUND((2880*$T$1),0)*1.05</f>
        <v>3024</v>
      </c>
      <c r="M1148" s="49">
        <f>ROUND((2956*$T$1),0)*1.05</f>
        <v>3103.8</v>
      </c>
      <c r="N1148" s="49">
        <f>ROUND((3031*$T$1),0)*1.05</f>
        <v>3182.55</v>
      </c>
      <c r="O1148" s="49">
        <f>ROUND((3076*$T$1),0)*1.05</f>
        <v>3229.8</v>
      </c>
      <c r="P1148" s="49">
        <f>ROUND((3212*$T$1),0)*1.05</f>
        <v>3372.6000000000004</v>
      </c>
      <c r="Q1148" s="49">
        <f>ROUND((3440*$T$1),0)*1.05</f>
        <v>3612</v>
      </c>
    </row>
    <row r="1149" spans="1:17" ht="15" customHeight="1" x14ac:dyDescent="0.3">
      <c r="A1149" s="42"/>
      <c r="B1149" s="43" t="s">
        <v>688</v>
      </c>
      <c r="C1149" s="44" t="s">
        <v>45</v>
      </c>
      <c r="D1149" s="45" t="s">
        <v>60</v>
      </c>
      <c r="E1149" s="46" t="s">
        <v>47</v>
      </c>
      <c r="F1149" s="47">
        <v>1</v>
      </c>
      <c r="G1149" s="46" t="s">
        <v>48</v>
      </c>
      <c r="H1149" s="47">
        <v>0.63</v>
      </c>
      <c r="I1149" s="48">
        <v>11.4</v>
      </c>
      <c r="J1149" s="49">
        <f>ROUND((2456*$T$1),0)*1.05</f>
        <v>2578.8000000000002</v>
      </c>
      <c r="K1149" s="49">
        <f>ROUND((2729*$T$1),0)*1.05</f>
        <v>2865.4500000000003</v>
      </c>
      <c r="L1149" s="49">
        <f>ROUND((2793*$T$1),0)*1.05</f>
        <v>2932.65</v>
      </c>
      <c r="M1149" s="49">
        <f>ROUND((2867*$T$1),0)*1.05</f>
        <v>3010.35</v>
      </c>
      <c r="N1149" s="49">
        <f>ROUND((2941*$T$1),0)*1.05</f>
        <v>3088.05</v>
      </c>
      <c r="O1149" s="49">
        <f>ROUND((2984*$T$1),0)*1.05</f>
        <v>3133.2000000000003</v>
      </c>
      <c r="P1149" s="49">
        <f>ROUND((3117*$T$1),0)*1.05</f>
        <v>3272.8500000000004</v>
      </c>
      <c r="Q1149" s="49">
        <f>ROUND((3337*$T$1),0)*1.05</f>
        <v>3503.8500000000004</v>
      </c>
    </row>
    <row r="1150" spans="1:17" ht="15" customHeight="1" x14ac:dyDescent="0.3">
      <c r="A1150" s="42"/>
      <c r="B1150" s="43" t="s">
        <v>689</v>
      </c>
      <c r="C1150" s="44" t="s">
        <v>45</v>
      </c>
      <c r="D1150" s="45" t="s">
        <v>629</v>
      </c>
      <c r="E1150" s="46" t="s">
        <v>47</v>
      </c>
      <c r="F1150" s="47">
        <v>1</v>
      </c>
      <c r="G1150" s="46" t="s">
        <v>48</v>
      </c>
      <c r="H1150" s="47">
        <v>0.63</v>
      </c>
      <c r="I1150" s="48">
        <v>11.8</v>
      </c>
      <c r="J1150" s="49">
        <f>ROUND((2494*$T$1),0)*1.05</f>
        <v>2618.7000000000003</v>
      </c>
      <c r="K1150" s="49">
        <f>ROUND((2772*$T$1),0)*1.05</f>
        <v>2910.6</v>
      </c>
      <c r="L1150" s="49">
        <f>ROUND((2836*$T$1),0)*1.05</f>
        <v>2977.8</v>
      </c>
      <c r="M1150" s="49">
        <f>ROUND((2911*$T$1),0)*1.05</f>
        <v>3056.55</v>
      </c>
      <c r="N1150" s="49">
        <f>ROUND((2985*$T$1),0)*1.05</f>
        <v>3134.25</v>
      </c>
      <c r="O1150" s="49">
        <f>ROUND((3030*$T$1),0)*1.05</f>
        <v>3181.5</v>
      </c>
      <c r="P1150" s="49">
        <f>ROUND((3165*$T$1),0)*1.05</f>
        <v>3323.25</v>
      </c>
      <c r="Q1150" s="49">
        <f>ROUND((3389*$T$1),0)*1.05</f>
        <v>3558.4500000000003</v>
      </c>
    </row>
    <row r="1151" spans="1:17" ht="15" customHeight="1" x14ac:dyDescent="0.3">
      <c r="A1151" s="42"/>
      <c r="B1151" s="43" t="s">
        <v>690</v>
      </c>
      <c r="C1151" s="44" t="s">
        <v>45</v>
      </c>
      <c r="D1151" s="45" t="s">
        <v>62</v>
      </c>
      <c r="E1151" s="46" t="s">
        <v>47</v>
      </c>
      <c r="F1151" s="47">
        <v>1</v>
      </c>
      <c r="G1151" s="46" t="s">
        <v>48</v>
      </c>
      <c r="H1151" s="47">
        <v>0.63</v>
      </c>
      <c r="I1151" s="48">
        <v>11.1</v>
      </c>
      <c r="J1151" s="49">
        <f>ROUND((2420*$T$1),0)*1.05</f>
        <v>2541</v>
      </c>
      <c r="K1151" s="49">
        <f>ROUND((2689*$T$1),0)*1.05</f>
        <v>2823.4500000000003</v>
      </c>
      <c r="L1151" s="49">
        <f>ROUND((2751*$T$1),0)*1.05</f>
        <v>2888.55</v>
      </c>
      <c r="M1151" s="49">
        <f>ROUND((2823*$T$1),0)*1.05</f>
        <v>2964.15</v>
      </c>
      <c r="N1151" s="49">
        <f>ROUND((2896*$T$1),0)*1.05</f>
        <v>3040.8</v>
      </c>
      <c r="O1151" s="49">
        <f>ROUND((2939*$T$1),0)*1.05</f>
        <v>3085.9500000000003</v>
      </c>
      <c r="P1151" s="49">
        <f>ROUND((3069*$T$1),0)*1.05</f>
        <v>3222.4500000000003</v>
      </c>
      <c r="Q1151" s="49">
        <f>ROUND((3287*$T$1),0)*1.05</f>
        <v>3451.3500000000004</v>
      </c>
    </row>
    <row r="1152" spans="1:17" ht="15" customHeight="1" x14ac:dyDescent="0.3">
      <c r="A1152" s="42"/>
      <c r="B1152" s="43" t="s">
        <v>691</v>
      </c>
      <c r="C1152" s="44" t="s">
        <v>45</v>
      </c>
      <c r="D1152" s="45">
        <v>1.1499999999999999</v>
      </c>
      <c r="E1152" s="46" t="s">
        <v>47</v>
      </c>
      <c r="F1152" s="47">
        <v>1</v>
      </c>
      <c r="G1152" s="46" t="s">
        <v>48</v>
      </c>
      <c r="H1152" s="47">
        <v>0.63</v>
      </c>
      <c r="I1152" s="48">
        <v>9</v>
      </c>
      <c r="J1152" s="49">
        <f>ROUND((2375*$T$1),0)*1.05</f>
        <v>2493.75</v>
      </c>
      <c r="K1152" s="49">
        <f>ROUND((2638*$T$1),0)*1.05</f>
        <v>2769.9</v>
      </c>
      <c r="L1152" s="49">
        <f>ROUND((2686*$T$1),0)*1.05</f>
        <v>2820.3</v>
      </c>
      <c r="M1152" s="49">
        <f>ROUND((2742*$T$1),0)*1.05</f>
        <v>2879.1</v>
      </c>
      <c r="N1152" s="49">
        <f>ROUND((2798*$T$1),0)*1.05</f>
        <v>2937.9</v>
      </c>
      <c r="O1152" s="49">
        <f>ROUND((2831*$T$1),0)*1.05</f>
        <v>2972.55</v>
      </c>
      <c r="P1152" s="49">
        <f>ROUND((2931*$T$1),0)*1.05</f>
        <v>3077.55</v>
      </c>
      <c r="Q1152" s="49">
        <f>ROUND((3098*$T$1),0)*1.05</f>
        <v>3252.9</v>
      </c>
    </row>
    <row r="1153" spans="1:17" ht="15" customHeight="1" x14ac:dyDescent="0.3">
      <c r="A1153" s="42"/>
      <c r="B1153" s="43" t="s">
        <v>692</v>
      </c>
      <c r="C1153" s="44" t="s">
        <v>45</v>
      </c>
      <c r="D1153" s="45" t="s">
        <v>64</v>
      </c>
      <c r="E1153" s="46" t="s">
        <v>47</v>
      </c>
      <c r="F1153" s="47">
        <v>1</v>
      </c>
      <c r="G1153" s="46" t="s">
        <v>48</v>
      </c>
      <c r="H1153" s="47">
        <v>0.63</v>
      </c>
      <c r="I1153" s="48">
        <v>8.1</v>
      </c>
      <c r="J1153" s="49">
        <f>ROUND((2137*$T$1),0)*1.05</f>
        <v>2243.85</v>
      </c>
      <c r="K1153" s="49">
        <f>ROUND((2375*$T$1),0)*1.05</f>
        <v>2493.75</v>
      </c>
      <c r="L1153" s="49">
        <f>ROUND((2417*$T$1),0)*1.05</f>
        <v>2537.85</v>
      </c>
      <c r="M1153" s="49">
        <f>ROUND((2468*$T$1),0)*1.05</f>
        <v>2591.4</v>
      </c>
      <c r="N1153" s="49">
        <f>ROUND((2519*$T$1),0)*1.05</f>
        <v>2644.9500000000003</v>
      </c>
      <c r="O1153" s="49">
        <f>ROUND((2548*$T$1),0)*1.05</f>
        <v>2675.4</v>
      </c>
      <c r="P1153" s="49">
        <f>ROUND((2638*$T$1),0)*1.05</f>
        <v>2769.9</v>
      </c>
      <c r="Q1153" s="49">
        <f>ROUND((2789*$T$1),0)*1.05</f>
        <v>2928.4500000000003</v>
      </c>
    </row>
    <row r="1154" spans="1:17" ht="15" customHeight="1" x14ac:dyDescent="0.3">
      <c r="A1154" s="42"/>
      <c r="B1154" s="43"/>
      <c r="C1154" s="44"/>
      <c r="D1154" s="45"/>
      <c r="E1154" s="46"/>
      <c r="F1154" s="47"/>
      <c r="G1154" s="46"/>
      <c r="H1154" s="47"/>
      <c r="I1154" s="48"/>
      <c r="J1154" s="49"/>
      <c r="K1154" s="49"/>
      <c r="L1154" s="49"/>
      <c r="M1154" s="49"/>
      <c r="N1154" s="49"/>
      <c r="O1154" s="49"/>
      <c r="P1154" s="49"/>
      <c r="Q1154" s="49"/>
    </row>
    <row r="1155" spans="1:17" ht="15" customHeight="1" x14ac:dyDescent="0.3">
      <c r="A1155" s="42"/>
      <c r="B1155" s="43" t="s">
        <v>693</v>
      </c>
      <c r="C1155" s="44" t="s">
        <v>45</v>
      </c>
      <c r="D1155" s="45" t="s">
        <v>661</v>
      </c>
      <c r="E1155" s="46" t="s">
        <v>47</v>
      </c>
      <c r="F1155" s="47">
        <v>1</v>
      </c>
      <c r="G1155" s="46" t="s">
        <v>48</v>
      </c>
      <c r="H1155" s="47">
        <v>0.63</v>
      </c>
      <c r="I1155" s="48">
        <v>12</v>
      </c>
      <c r="J1155" s="49">
        <f>ROUND((2571*$T$1),0)*1.05</f>
        <v>2699.55</v>
      </c>
      <c r="K1155" s="49">
        <f>ROUND((2857*$T$1),0)*1.05</f>
        <v>2999.85</v>
      </c>
      <c r="L1155" s="49">
        <f>ROUND((2923*$T$1),0)*1.05</f>
        <v>3069.15</v>
      </c>
      <c r="M1155" s="49">
        <f>ROUND((3000*$T$1),0)*1.05</f>
        <v>3150</v>
      </c>
      <c r="N1155" s="49">
        <f>ROUND((3077*$T$1),0)*1.05</f>
        <v>3230.8500000000004</v>
      </c>
      <c r="O1155" s="49">
        <f>ROUND((3123*$T$1),0)*1.05</f>
        <v>3279.15</v>
      </c>
      <c r="P1155" s="49">
        <f>ROUND((3261*$T$1),0)*1.05</f>
        <v>3424.05</v>
      </c>
      <c r="Q1155" s="49">
        <f>ROUND((3493*$T$1),0)*1.05</f>
        <v>3667.65</v>
      </c>
    </row>
    <row r="1156" spans="1:17" ht="15" customHeight="1" x14ac:dyDescent="0.3">
      <c r="A1156" s="42"/>
      <c r="B1156" s="43" t="s">
        <v>694</v>
      </c>
      <c r="C1156" s="44" t="s">
        <v>45</v>
      </c>
      <c r="D1156" s="45" t="s">
        <v>58</v>
      </c>
      <c r="E1156" s="46" t="s">
        <v>47</v>
      </c>
      <c r="F1156" s="47">
        <v>1</v>
      </c>
      <c r="G1156" s="46" t="s">
        <v>48</v>
      </c>
      <c r="H1156" s="47">
        <v>0.63</v>
      </c>
      <c r="I1156" s="48">
        <v>11.7</v>
      </c>
      <c r="J1156" s="49">
        <f>ROUND((2494*$T$1),0)*1.05</f>
        <v>2618.7000000000003</v>
      </c>
      <c r="K1156" s="49">
        <f>ROUND((2770*$T$1),0)*1.05</f>
        <v>2908.5</v>
      </c>
      <c r="L1156" s="49">
        <f>ROUND((2836*$T$1),0)*1.05</f>
        <v>2977.8</v>
      </c>
      <c r="M1156" s="49">
        <f>ROUND((2911*$T$1),0)*1.05</f>
        <v>3056.55</v>
      </c>
      <c r="N1156" s="49">
        <f>ROUND((2985*$T$1),0)*1.05</f>
        <v>3134.25</v>
      </c>
      <c r="O1156" s="49">
        <f>ROUND((3030*$T$1),0)*1.05</f>
        <v>3181.5</v>
      </c>
      <c r="P1156" s="49">
        <f>ROUND((3164*$T$1),0)*1.05</f>
        <v>3322.2000000000003</v>
      </c>
      <c r="Q1156" s="49">
        <f>ROUND((3388*$T$1),0)*1.05</f>
        <v>3557.4</v>
      </c>
    </row>
    <row r="1157" spans="1:17" ht="15" customHeight="1" x14ac:dyDescent="0.3">
      <c r="A1157" s="42"/>
      <c r="B1157" s="43" t="s">
        <v>695</v>
      </c>
      <c r="C1157" s="44" t="s">
        <v>45</v>
      </c>
      <c r="D1157" s="45" t="s">
        <v>664</v>
      </c>
      <c r="E1157" s="46" t="s">
        <v>47</v>
      </c>
      <c r="F1157" s="47">
        <v>1</v>
      </c>
      <c r="G1157" s="46" t="s">
        <v>48</v>
      </c>
      <c r="H1157" s="47">
        <v>0.63</v>
      </c>
      <c r="I1157" s="48">
        <v>11.9</v>
      </c>
      <c r="J1157" s="49">
        <f>ROUND((2532*$T$1),0)*1.05</f>
        <v>2658.6</v>
      </c>
      <c r="K1157" s="49">
        <f>ROUND((2814*$T$1),0)*1.05</f>
        <v>2954.7000000000003</v>
      </c>
      <c r="L1157" s="49">
        <f>ROUND((2880*$T$1),0)*1.05</f>
        <v>3024</v>
      </c>
      <c r="M1157" s="49">
        <f>ROUND((2956*$T$1),0)*1.05</f>
        <v>3103.8</v>
      </c>
      <c r="N1157" s="49">
        <f>ROUND((3031*$T$1),0)*1.05</f>
        <v>3182.55</v>
      </c>
      <c r="O1157" s="49">
        <f>ROUND((3076*$T$1),0)*1.05</f>
        <v>3229.8</v>
      </c>
      <c r="P1157" s="49">
        <f>ROUND((3212*$T$1),0)*1.05</f>
        <v>3372.6000000000004</v>
      </c>
      <c r="Q1157" s="49">
        <f>ROUND((3440*$T$1),0)*1.05</f>
        <v>3612</v>
      </c>
    </row>
    <row r="1158" spans="1:17" ht="15" customHeight="1" x14ac:dyDescent="0.3">
      <c r="A1158" s="42"/>
      <c r="B1158" s="43" t="s">
        <v>696</v>
      </c>
      <c r="C1158" s="44" t="s">
        <v>45</v>
      </c>
      <c r="D1158" s="45" t="s">
        <v>60</v>
      </c>
      <c r="E1158" s="46" t="s">
        <v>47</v>
      </c>
      <c r="F1158" s="47">
        <v>1</v>
      </c>
      <c r="G1158" s="46" t="s">
        <v>48</v>
      </c>
      <c r="H1158" s="47">
        <v>0.63</v>
      </c>
      <c r="I1158" s="48">
        <v>11.4</v>
      </c>
      <c r="J1158" s="49">
        <f>ROUND((2456*$T$1),0)*1.05</f>
        <v>2578.8000000000002</v>
      </c>
      <c r="K1158" s="49">
        <f>ROUND((2729*$T$1),0)*1.05</f>
        <v>2865.4500000000003</v>
      </c>
      <c r="L1158" s="49">
        <f>ROUND((2793*$T$1),0)*1.05</f>
        <v>2932.65</v>
      </c>
      <c r="M1158" s="49">
        <f>ROUND((2867*$T$1),0)*1.05</f>
        <v>3010.35</v>
      </c>
      <c r="N1158" s="49">
        <f>ROUND((2941*$T$1),0)*1.05</f>
        <v>3088.05</v>
      </c>
      <c r="O1158" s="49">
        <f>ROUND((2984*$T$1),0)*1.05</f>
        <v>3133.2000000000003</v>
      </c>
      <c r="P1158" s="49">
        <f>ROUND((3117*$T$1),0)*1.05</f>
        <v>3272.8500000000004</v>
      </c>
      <c r="Q1158" s="49">
        <f>ROUND((3337*$T$1),0)*1.05</f>
        <v>3503.8500000000004</v>
      </c>
    </row>
    <row r="1159" spans="1:17" ht="15" customHeight="1" x14ac:dyDescent="0.3">
      <c r="A1159" s="42"/>
      <c r="B1159" s="43" t="s">
        <v>697</v>
      </c>
      <c r="C1159" s="44" t="s">
        <v>45</v>
      </c>
      <c r="D1159" s="45" t="s">
        <v>629</v>
      </c>
      <c r="E1159" s="46" t="s">
        <v>47</v>
      </c>
      <c r="F1159" s="47">
        <v>1</v>
      </c>
      <c r="G1159" s="46" t="s">
        <v>48</v>
      </c>
      <c r="H1159" s="47">
        <v>0.63</v>
      </c>
      <c r="I1159" s="48">
        <v>11.8</v>
      </c>
      <c r="J1159" s="49">
        <f>ROUND((2494*$T$1),0)*1.05</f>
        <v>2618.7000000000003</v>
      </c>
      <c r="K1159" s="49">
        <f>ROUND((2772*$T$1),0)*1.05</f>
        <v>2910.6</v>
      </c>
      <c r="L1159" s="49">
        <f>ROUND((2836*$T$1),0)*1.05</f>
        <v>2977.8</v>
      </c>
      <c r="M1159" s="49">
        <f>ROUND((2911*$T$1),0)*1.05</f>
        <v>3056.55</v>
      </c>
      <c r="N1159" s="49">
        <f>ROUND((2985*$T$1),0)*1.05</f>
        <v>3134.25</v>
      </c>
      <c r="O1159" s="49">
        <f>ROUND((3030*$T$1),0)*1.05</f>
        <v>3181.5</v>
      </c>
      <c r="P1159" s="49">
        <f>ROUND((3165*$T$1),0)*1.05</f>
        <v>3323.25</v>
      </c>
      <c r="Q1159" s="49">
        <f>ROUND((3389*$T$1),0)*1.05</f>
        <v>3558.4500000000003</v>
      </c>
    </row>
    <row r="1160" spans="1:17" ht="15" customHeight="1" x14ac:dyDescent="0.3">
      <c r="A1160" s="42"/>
      <c r="B1160" s="43" t="s">
        <v>698</v>
      </c>
      <c r="C1160" s="44" t="s">
        <v>45</v>
      </c>
      <c r="D1160" s="45" t="s">
        <v>62</v>
      </c>
      <c r="E1160" s="46" t="s">
        <v>47</v>
      </c>
      <c r="F1160" s="47">
        <v>1</v>
      </c>
      <c r="G1160" s="46" t="s">
        <v>48</v>
      </c>
      <c r="H1160" s="47">
        <v>0.63</v>
      </c>
      <c r="I1160" s="48">
        <v>11.1</v>
      </c>
      <c r="J1160" s="49">
        <f>ROUND((2420*$T$1),0)*1.05</f>
        <v>2541</v>
      </c>
      <c r="K1160" s="49">
        <f>ROUND((2689*$T$1),0)*1.05</f>
        <v>2823.4500000000003</v>
      </c>
      <c r="L1160" s="49">
        <f>ROUND((2751*$T$1),0)*1.05</f>
        <v>2888.55</v>
      </c>
      <c r="M1160" s="49">
        <f>ROUND((2823*$T$1),0)*1.05</f>
        <v>2964.15</v>
      </c>
      <c r="N1160" s="49">
        <f>ROUND((2896*$T$1),0)*1.05</f>
        <v>3040.8</v>
      </c>
      <c r="O1160" s="49">
        <f>ROUND((2939*$T$1),0)*1.05</f>
        <v>3085.9500000000003</v>
      </c>
      <c r="P1160" s="49">
        <f>ROUND((3069*$T$1),0)*1.05</f>
        <v>3222.4500000000003</v>
      </c>
      <c r="Q1160" s="49">
        <f>ROUND((3287*$T$1),0)*1.05</f>
        <v>3451.3500000000004</v>
      </c>
    </row>
    <row r="1161" spans="1:17" ht="15" customHeight="1" x14ac:dyDescent="0.3">
      <c r="A1161" s="42"/>
      <c r="B1161" s="43" t="s">
        <v>699</v>
      </c>
      <c r="C1161" s="44" t="s">
        <v>45</v>
      </c>
      <c r="D1161" s="45">
        <v>1.1499999999999999</v>
      </c>
      <c r="E1161" s="46" t="s">
        <v>47</v>
      </c>
      <c r="F1161" s="47">
        <v>1</v>
      </c>
      <c r="G1161" s="46" t="s">
        <v>48</v>
      </c>
      <c r="H1161" s="47">
        <v>0.63</v>
      </c>
      <c r="I1161" s="48">
        <v>9</v>
      </c>
      <c r="J1161" s="49">
        <f>ROUND((2375*$T$1),0)*1.05</f>
        <v>2493.75</v>
      </c>
      <c r="K1161" s="49">
        <f>ROUND((2638*$T$1),0)*1.05</f>
        <v>2769.9</v>
      </c>
      <c r="L1161" s="49">
        <f>ROUND((2686*$T$1),0)*1.05</f>
        <v>2820.3</v>
      </c>
      <c r="M1161" s="49">
        <f>ROUND((2742*$T$1),0)*1.05</f>
        <v>2879.1</v>
      </c>
      <c r="N1161" s="49">
        <f>ROUND((2798*$T$1),0)*1.05</f>
        <v>2937.9</v>
      </c>
      <c r="O1161" s="49">
        <f>ROUND((2831*$T$1),0)*1.05</f>
        <v>2972.55</v>
      </c>
      <c r="P1161" s="49">
        <f>ROUND((2931*$T$1),0)*1.05</f>
        <v>3077.55</v>
      </c>
      <c r="Q1161" s="49">
        <f>ROUND((3098*$T$1),0)*1.05</f>
        <v>3252.9</v>
      </c>
    </row>
    <row r="1162" spans="1:17" ht="15" customHeight="1" x14ac:dyDescent="0.3">
      <c r="A1162" s="42"/>
      <c r="B1162" s="43" t="s">
        <v>700</v>
      </c>
      <c r="C1162" s="44" t="s">
        <v>45</v>
      </c>
      <c r="D1162" s="45" t="s">
        <v>64</v>
      </c>
      <c r="E1162" s="46" t="s">
        <v>47</v>
      </c>
      <c r="F1162" s="47">
        <v>1</v>
      </c>
      <c r="G1162" s="46" t="s">
        <v>48</v>
      </c>
      <c r="H1162" s="47">
        <v>0.63</v>
      </c>
      <c r="I1162" s="48">
        <v>8.1</v>
      </c>
      <c r="J1162" s="49">
        <f>ROUND((2137*$T$1),0)*1.05</f>
        <v>2243.85</v>
      </c>
      <c r="K1162" s="49">
        <f>ROUND((2375*$T$1),0)*1.05</f>
        <v>2493.75</v>
      </c>
      <c r="L1162" s="49">
        <f>ROUND((2417*$T$1),0)*1.05</f>
        <v>2537.85</v>
      </c>
      <c r="M1162" s="49">
        <f>ROUND((2468*$T$1),0)*1.05</f>
        <v>2591.4</v>
      </c>
      <c r="N1162" s="49">
        <f>ROUND((2519*$T$1),0)*1.05</f>
        <v>2644.9500000000003</v>
      </c>
      <c r="O1162" s="49">
        <f>ROUND((2548*$T$1),0)*1.05</f>
        <v>2675.4</v>
      </c>
      <c r="P1162" s="49">
        <f>ROUND((2638*$T$1),0)*1.05</f>
        <v>2769.9</v>
      </c>
      <c r="Q1162" s="49">
        <f>ROUND((2789*$T$1),0)*1.05</f>
        <v>2928.4500000000003</v>
      </c>
    </row>
    <row r="1163" spans="1:17" ht="15" customHeight="1" x14ac:dyDescent="0.3">
      <c r="A1163" s="42"/>
      <c r="B1163" s="43"/>
      <c r="C1163" s="44"/>
      <c r="D1163" s="45"/>
      <c r="E1163" s="46"/>
      <c r="F1163" s="47"/>
      <c r="G1163" s="46"/>
      <c r="H1163" s="47"/>
      <c r="I1163" s="48"/>
      <c r="J1163" s="49"/>
      <c r="K1163" s="49"/>
      <c r="L1163" s="49"/>
      <c r="M1163" s="49"/>
      <c r="N1163" s="49"/>
      <c r="O1163" s="49"/>
      <c r="P1163" s="49"/>
      <c r="Q1163" s="49"/>
    </row>
    <row r="1164" spans="1:17" ht="15" customHeight="1" x14ac:dyDescent="0.3">
      <c r="A1164" s="42"/>
      <c r="B1164" s="43" t="s">
        <v>529</v>
      </c>
      <c r="C1164" s="44" t="s">
        <v>45</v>
      </c>
      <c r="D1164" s="45" t="s">
        <v>81</v>
      </c>
      <c r="E1164" s="46" t="s">
        <v>47</v>
      </c>
      <c r="F1164" s="47">
        <v>1</v>
      </c>
      <c r="G1164" s="46" t="s">
        <v>48</v>
      </c>
      <c r="H1164" s="47">
        <v>0.63</v>
      </c>
      <c r="I1164" s="48">
        <v>9.3000000000000007</v>
      </c>
      <c r="J1164" s="49">
        <f>ROUND((2446*$T$1),0)*1.05</f>
        <v>2568.3000000000002</v>
      </c>
      <c r="K1164" s="49">
        <f>ROUND((2717*$T$1),0)*1.05</f>
        <v>2852.85</v>
      </c>
      <c r="L1164" s="49">
        <f>ROUND((2767*$T$1),0)*1.05</f>
        <v>2905.35</v>
      </c>
      <c r="M1164" s="49">
        <f>ROUND((2824*$T$1),0)*1.05</f>
        <v>2965.2000000000003</v>
      </c>
      <c r="N1164" s="49">
        <f>ROUND((2882*$T$1),0)*1.05</f>
        <v>3026.1</v>
      </c>
      <c r="O1164" s="49">
        <f>ROUND((2916*$T$1),0)*1.05</f>
        <v>3061.8</v>
      </c>
      <c r="P1164" s="49">
        <f>ROUND((3019*$T$1),0)*1.05</f>
        <v>3169.9500000000003</v>
      </c>
      <c r="Q1164" s="49">
        <f>ROUND((3191*$T$1),0)*1.05</f>
        <v>3350.55</v>
      </c>
    </row>
    <row r="1165" spans="1:17" ht="15" customHeight="1" x14ac:dyDescent="0.3">
      <c r="A1165" s="42"/>
      <c r="B1165" s="43" t="s">
        <v>701</v>
      </c>
      <c r="C1165" s="44" t="s">
        <v>45</v>
      </c>
      <c r="D1165" s="45" t="s">
        <v>81</v>
      </c>
      <c r="E1165" s="46" t="s">
        <v>47</v>
      </c>
      <c r="F1165" s="47">
        <v>1</v>
      </c>
      <c r="G1165" s="46" t="s">
        <v>48</v>
      </c>
      <c r="H1165" s="47">
        <v>0.63</v>
      </c>
      <c r="I1165" s="48">
        <v>9.3000000000000007</v>
      </c>
      <c r="J1165" s="49">
        <f>ROUND((2446*$T$1),0)*1.05</f>
        <v>2568.3000000000002</v>
      </c>
      <c r="K1165" s="49">
        <f>ROUND((2717*$T$1),0)*1.05</f>
        <v>2852.85</v>
      </c>
      <c r="L1165" s="49">
        <f>ROUND((2767*$T$1),0)*1.05</f>
        <v>2905.35</v>
      </c>
      <c r="M1165" s="49">
        <f>ROUND((2824*$T$1),0)*1.05</f>
        <v>2965.2000000000003</v>
      </c>
      <c r="N1165" s="49">
        <f>ROUND((2882*$T$1),0)*1.05</f>
        <v>3026.1</v>
      </c>
      <c r="O1165" s="49">
        <f>ROUND((2916*$T$1),0)*1.05</f>
        <v>3061.8</v>
      </c>
      <c r="P1165" s="49">
        <f>ROUND((3019*$T$1),0)*1.05</f>
        <v>3169.9500000000003</v>
      </c>
      <c r="Q1165" s="49">
        <f>ROUND((3191*$T$1),0)*1.05</f>
        <v>3350.55</v>
      </c>
    </row>
    <row r="1166" spans="1:17" ht="15" customHeight="1" x14ac:dyDescent="0.3">
      <c r="A1166" s="42"/>
      <c r="B1166" s="43"/>
      <c r="C1166" s="44"/>
      <c r="D1166" s="45"/>
      <c r="E1166" s="46"/>
      <c r="F1166" s="47"/>
      <c r="G1166" s="46"/>
      <c r="H1166" s="47"/>
      <c r="I1166" s="48"/>
      <c r="J1166" s="49"/>
      <c r="K1166" s="49"/>
      <c r="L1166" s="49"/>
      <c r="M1166" s="49"/>
      <c r="N1166" s="49"/>
      <c r="O1166" s="49"/>
      <c r="P1166" s="49"/>
      <c r="Q1166" s="49"/>
    </row>
    <row r="1167" spans="1:17" ht="15" customHeight="1" x14ac:dyDescent="0.3">
      <c r="A1167" s="42"/>
      <c r="B1167" s="43" t="s">
        <v>702</v>
      </c>
      <c r="C1167" s="44" t="s">
        <v>45</v>
      </c>
      <c r="D1167" s="45" t="s">
        <v>58</v>
      </c>
      <c r="E1167" s="46" t="s">
        <v>47</v>
      </c>
      <c r="F1167" s="47" t="s">
        <v>58</v>
      </c>
      <c r="G1167" s="46" t="s">
        <v>48</v>
      </c>
      <c r="H1167" s="47" t="s">
        <v>703</v>
      </c>
      <c r="I1167" s="48">
        <v>5</v>
      </c>
      <c r="J1167" s="49">
        <f>ROUND((2193*$T$1),0)*1.05</f>
        <v>2302.65</v>
      </c>
      <c r="K1167" s="49">
        <f>ROUND((2437*$T$1),0)*1.05</f>
        <v>2558.85</v>
      </c>
      <c r="L1167" s="49">
        <f>ROUND((2467*$T$1),0)*1.05</f>
        <v>2590.35</v>
      </c>
      <c r="M1167" s="49">
        <f>ROUND((2500*$T$1),0)*1.05</f>
        <v>2625</v>
      </c>
      <c r="N1167" s="49">
        <f>ROUND((2553*$T$1),0)*1.05</f>
        <v>2680.65</v>
      </c>
      <c r="O1167" s="49">
        <f>ROUND((2554*$T$1),0)*1.05</f>
        <v>2681.7000000000003</v>
      </c>
      <c r="P1167" s="49">
        <f>ROUND((2615*$T$1),0)*1.05</f>
        <v>2745.75</v>
      </c>
      <c r="Q1167" s="49">
        <f>ROUND((2716*$T$1),0)*1.05</f>
        <v>2851.8</v>
      </c>
    </row>
    <row r="1168" spans="1:17" ht="15" customHeight="1" x14ac:dyDescent="0.3">
      <c r="A1168" s="42"/>
      <c r="B1168" s="43" t="s">
        <v>704</v>
      </c>
      <c r="C1168" s="44" t="s">
        <v>45</v>
      </c>
      <c r="D1168" s="45" t="s">
        <v>62</v>
      </c>
      <c r="E1168" s="46" t="s">
        <v>47</v>
      </c>
      <c r="F1168" s="47">
        <v>1</v>
      </c>
      <c r="G1168" s="46" t="s">
        <v>48</v>
      </c>
      <c r="H1168" s="47">
        <v>0.44</v>
      </c>
      <c r="I1168" s="48">
        <v>5</v>
      </c>
      <c r="J1168" s="49">
        <f>ROUND((2034*$T$1),0)*1.05</f>
        <v>2135.7000000000003</v>
      </c>
      <c r="K1168" s="49">
        <f>ROUND((2261*$T$1),0)*1.05</f>
        <v>2374.0500000000002</v>
      </c>
      <c r="L1168" s="49">
        <f>ROUND((2285*$T$1),0)*1.05</f>
        <v>2399.25</v>
      </c>
      <c r="M1168" s="49">
        <f>ROUND((2314*$T$1),0)*1.05</f>
        <v>2429.7000000000003</v>
      </c>
      <c r="N1168" s="49">
        <f>ROUND((2341*$T$1),0)*1.05</f>
        <v>2458.0500000000002</v>
      </c>
      <c r="O1168" s="49">
        <f>ROUND((2359*$T$1),0)*1.05</f>
        <v>2476.9500000000003</v>
      </c>
      <c r="P1168" s="49">
        <f>ROUND((2550*$T$1),0)*1.05</f>
        <v>2677.5</v>
      </c>
      <c r="Q1168" s="49">
        <f>ROUND((2709*$T$1),0)*1.05</f>
        <v>2844.4500000000003</v>
      </c>
    </row>
    <row r="1169" spans="1:17" ht="15" customHeight="1" x14ac:dyDescent="0.3">
      <c r="A1169" s="42"/>
      <c r="B1169" s="43" t="s">
        <v>705</v>
      </c>
      <c r="C1169" s="44" t="s">
        <v>45</v>
      </c>
      <c r="D1169" s="45" t="s">
        <v>83</v>
      </c>
      <c r="E1169" s="46" t="s">
        <v>47</v>
      </c>
      <c r="F1169" s="47">
        <v>1</v>
      </c>
      <c r="G1169" s="46" t="s">
        <v>48</v>
      </c>
      <c r="H1169" s="47">
        <v>0.63</v>
      </c>
      <c r="I1169" s="55">
        <v>7</v>
      </c>
      <c r="J1169" s="56">
        <f>ROUND((2324*$T$1),0)*1.05</f>
        <v>2440.2000000000003</v>
      </c>
      <c r="K1169" s="56">
        <f>ROUND((2583*$T$1),0)*1.05</f>
        <v>2712.15</v>
      </c>
      <c r="L1169" s="56">
        <f>ROUND((2623*$T$1),0)*1.05</f>
        <v>2754.15</v>
      </c>
      <c r="M1169" s="56">
        <f>ROUND((2739*$T$1),0)*1.05</f>
        <v>2875.9500000000003</v>
      </c>
      <c r="N1169" s="56">
        <f>ROUND((2716*$T$1),0)*1.05</f>
        <v>2851.8</v>
      </c>
      <c r="O1169" s="56">
        <f>ROUND((2744*$T$1),0)*1.05</f>
        <v>2881.2000000000003</v>
      </c>
      <c r="P1169" s="101">
        <f>ROUND((2828*$T$1),0)*1.05</f>
        <v>2969.4</v>
      </c>
      <c r="Q1169" s="101">
        <f>ROUND((2967*$T$1),0)*1.05</f>
        <v>3115.35</v>
      </c>
    </row>
    <row r="1170" spans="1:17" ht="15" customHeight="1" x14ac:dyDescent="0.3">
      <c r="A1170" s="42"/>
      <c r="B1170" s="43" t="s">
        <v>706</v>
      </c>
      <c r="C1170" s="44" t="s">
        <v>45</v>
      </c>
      <c r="D1170" s="45" t="s">
        <v>62</v>
      </c>
      <c r="E1170" s="46" t="s">
        <v>47</v>
      </c>
      <c r="F1170" s="47">
        <v>1</v>
      </c>
      <c r="G1170" s="46" t="s">
        <v>48</v>
      </c>
      <c r="H1170" s="47">
        <v>0.63</v>
      </c>
      <c r="I1170" s="48">
        <v>8</v>
      </c>
      <c r="J1170" s="49">
        <f>ROUND((2211*$T$1),0)*1.05</f>
        <v>2321.5500000000002</v>
      </c>
      <c r="K1170" s="49">
        <f>ROUND((2458*$T$1),0)*1.05</f>
        <v>2580.9</v>
      </c>
      <c r="L1170" s="49">
        <f>ROUND((2501*$T$1),0)*1.05</f>
        <v>2626.05</v>
      </c>
      <c r="M1170" s="49">
        <f>ROUND((2551*$T$1),0)*1.05</f>
        <v>2678.55</v>
      </c>
      <c r="N1170" s="49">
        <f>ROUND((2601*$T$1),0)*1.05</f>
        <v>2731.05</v>
      </c>
      <c r="O1170" s="49">
        <f>ROUND((2631*$T$1),0)*1.05</f>
        <v>2762.55</v>
      </c>
      <c r="P1170" s="56">
        <f>ROUND((2722*$T$1),0)*1.05</f>
        <v>2858.1</v>
      </c>
      <c r="Q1170" s="56">
        <f>ROUND((2872*$T$1),0)*1.05</f>
        <v>3015.6</v>
      </c>
    </row>
    <row r="1171" spans="1:17" ht="15" customHeight="1" x14ac:dyDescent="0.3">
      <c r="A1171" s="42"/>
      <c r="B1171" s="43" t="s">
        <v>707</v>
      </c>
      <c r="C1171" s="44" t="s">
        <v>45</v>
      </c>
      <c r="D1171" s="45">
        <v>1.22</v>
      </c>
      <c r="E1171" s="46" t="s">
        <v>47</v>
      </c>
      <c r="F1171" s="47">
        <v>1.22</v>
      </c>
      <c r="G1171" s="46" t="s">
        <v>48</v>
      </c>
      <c r="H1171" s="47">
        <v>0.63</v>
      </c>
      <c r="I1171" s="48">
        <v>9.8000000000000007</v>
      </c>
      <c r="J1171" s="49">
        <f>ROUND((2698*$T$1),0)*1.05</f>
        <v>2832.9</v>
      </c>
      <c r="K1171" s="49">
        <f>ROUND((2998*$T$1),0)*1.05</f>
        <v>3147.9</v>
      </c>
      <c r="L1171" s="49">
        <f>ROUND((3052*$T$1),0)*1.05</f>
        <v>3204.6</v>
      </c>
      <c r="M1171" s="49">
        <f>ROUND((3112*$T$1),0)*1.05</f>
        <v>3267.6000000000004</v>
      </c>
      <c r="N1171" s="49">
        <f>ROUND((3174*$T$1),0)*1.05</f>
        <v>3332.7000000000003</v>
      </c>
      <c r="O1171" s="49">
        <f>ROUND((3210*$T$1),0)*1.05</f>
        <v>3370.5</v>
      </c>
      <c r="P1171" s="49">
        <f>ROUND((3321*$T$1),0)*1.05</f>
        <v>3487.05</v>
      </c>
      <c r="Q1171" s="49">
        <f>ROUND((3503*$T$1),0)*1.05</f>
        <v>3678.15</v>
      </c>
    </row>
    <row r="1172" spans="1:17" ht="15" customHeight="1" x14ac:dyDescent="0.3">
      <c r="A1172" s="42"/>
      <c r="B1172" s="97"/>
      <c r="C1172" s="98"/>
      <c r="D1172" s="99"/>
      <c r="E1172" s="99"/>
      <c r="F1172" s="99"/>
      <c r="G1172" s="99"/>
      <c r="H1172" s="99"/>
      <c r="I1172" s="100"/>
      <c r="J1172" s="101"/>
      <c r="K1172" s="101"/>
      <c r="L1172" s="101"/>
      <c r="M1172" s="101"/>
      <c r="N1172" s="101"/>
      <c r="O1172" s="101"/>
    </row>
    <row r="1173" spans="1:17" ht="15" customHeight="1" x14ac:dyDescent="0.3">
      <c r="A1173" s="42"/>
      <c r="B1173" s="43" t="s">
        <v>708</v>
      </c>
      <c r="C1173" s="44" t="s">
        <v>45</v>
      </c>
      <c r="D1173" s="45" t="s">
        <v>83</v>
      </c>
      <c r="E1173" s="46" t="s">
        <v>47</v>
      </c>
      <c r="F1173" s="47">
        <v>1</v>
      </c>
      <c r="G1173" s="46" t="s">
        <v>48</v>
      </c>
      <c r="H1173" s="47">
        <v>0.63</v>
      </c>
      <c r="I1173" s="55">
        <v>7</v>
      </c>
      <c r="J1173" s="56">
        <f>ROUND((2324*$T$1),0)*1.05</f>
        <v>2440.2000000000003</v>
      </c>
      <c r="K1173" s="56">
        <f>ROUND((2583*$T$1),0)*1.05</f>
        <v>2712.15</v>
      </c>
      <c r="L1173" s="56">
        <f>ROUND((2623*$T$1),0)*1.05</f>
        <v>2754.15</v>
      </c>
      <c r="M1173" s="56">
        <f>ROUND((2739*$T$1),0)*1.05</f>
        <v>2875.9500000000003</v>
      </c>
      <c r="N1173" s="56">
        <f>ROUND((2716*$T$1),0)*1.05</f>
        <v>2851.8</v>
      </c>
      <c r="O1173" s="56">
        <f>ROUND((2744*$T$1),0)*1.05</f>
        <v>2881.2000000000003</v>
      </c>
      <c r="P1173" s="101">
        <f>ROUND((2828*$T$1),0)*1.05</f>
        <v>2969.4</v>
      </c>
      <c r="Q1173" s="101">
        <f>ROUND((2967*$T$1),0)*1.05</f>
        <v>3115.35</v>
      </c>
    </row>
    <row r="1174" spans="1:17" ht="15" customHeight="1" x14ac:dyDescent="0.3">
      <c r="A1174" s="42"/>
      <c r="B1174" s="43" t="s">
        <v>709</v>
      </c>
      <c r="C1174" s="44" t="s">
        <v>45</v>
      </c>
      <c r="D1174" s="45" t="s">
        <v>62</v>
      </c>
      <c r="E1174" s="46" t="s">
        <v>47</v>
      </c>
      <c r="F1174" s="47">
        <v>1</v>
      </c>
      <c r="G1174" s="46" t="s">
        <v>48</v>
      </c>
      <c r="H1174" s="47">
        <v>0.63</v>
      </c>
      <c r="I1174" s="48">
        <v>8</v>
      </c>
      <c r="J1174" s="49">
        <f>ROUND((2211*$T$1),0)*1.05</f>
        <v>2321.5500000000002</v>
      </c>
      <c r="K1174" s="49">
        <f>ROUND((2458*$T$1),0)*1.05</f>
        <v>2580.9</v>
      </c>
      <c r="L1174" s="49">
        <f>ROUND((2501*$T$1),0)*1.05</f>
        <v>2626.05</v>
      </c>
      <c r="M1174" s="49">
        <f>ROUND((2551*$T$1),0)*1.05</f>
        <v>2678.55</v>
      </c>
      <c r="N1174" s="49">
        <f>ROUND((2601*$T$1),0)*1.05</f>
        <v>2731.05</v>
      </c>
      <c r="O1174" s="49">
        <f>ROUND((2631*$T$1),0)*1.05</f>
        <v>2762.55</v>
      </c>
      <c r="P1174" s="56">
        <f>ROUND((2722*$T$1),0)*1.05</f>
        <v>2858.1</v>
      </c>
      <c r="Q1174" s="56">
        <f>ROUND((2872*$T$1),0)*1.05</f>
        <v>3015.6</v>
      </c>
    </row>
    <row r="1175" spans="1:17" ht="15" customHeight="1" x14ac:dyDescent="0.3">
      <c r="A1175" s="42"/>
      <c r="B1175" s="43" t="s">
        <v>710</v>
      </c>
      <c r="C1175" s="44" t="s">
        <v>45</v>
      </c>
      <c r="D1175" s="45">
        <v>1.22</v>
      </c>
      <c r="E1175" s="46" t="s">
        <v>47</v>
      </c>
      <c r="F1175" s="47">
        <v>1.22</v>
      </c>
      <c r="G1175" s="46" t="s">
        <v>48</v>
      </c>
      <c r="H1175" s="47">
        <v>0.63</v>
      </c>
      <c r="I1175" s="48">
        <v>9.8000000000000007</v>
      </c>
      <c r="J1175" s="49">
        <f>ROUND((2698*$T$1),0)*1.05</f>
        <v>2832.9</v>
      </c>
      <c r="K1175" s="49">
        <f>ROUND((2998*$T$1),0)*1.05</f>
        <v>3147.9</v>
      </c>
      <c r="L1175" s="49">
        <f>ROUND((3052*$T$1),0)*1.05</f>
        <v>3204.6</v>
      </c>
      <c r="M1175" s="49">
        <f>ROUND((3112*$T$1),0)*1.05</f>
        <v>3267.6000000000004</v>
      </c>
      <c r="N1175" s="49">
        <f>ROUND((3174*$T$1),0)*1.05</f>
        <v>3332.7000000000003</v>
      </c>
      <c r="O1175" s="49">
        <f>ROUND((3210*$T$1),0)*1.05</f>
        <v>3370.5</v>
      </c>
      <c r="P1175" s="49">
        <f>ROUND((3321*$T$1),0)*1.05</f>
        <v>3487.05</v>
      </c>
      <c r="Q1175" s="49">
        <f>ROUND((3503*$T$1),0)*1.05</f>
        <v>3678.15</v>
      </c>
    </row>
    <row r="1176" spans="1:17" ht="15" customHeight="1" x14ac:dyDescent="0.3">
      <c r="A1176" s="42"/>
      <c r="B1176" s="97"/>
      <c r="C1176" s="98"/>
      <c r="D1176" s="99"/>
      <c r="E1176" s="99"/>
      <c r="F1176" s="99"/>
      <c r="G1176" s="99"/>
      <c r="H1176" s="99"/>
      <c r="I1176" s="100"/>
      <c r="J1176" s="101"/>
      <c r="K1176" s="101"/>
      <c r="L1176" s="101"/>
      <c r="M1176" s="101"/>
      <c r="N1176" s="101"/>
      <c r="O1176" s="101"/>
      <c r="P1176" s="101"/>
      <c r="Q1176" s="101"/>
    </row>
    <row r="1177" spans="1:17" ht="15" customHeight="1" x14ac:dyDescent="0.3">
      <c r="A1177" s="42"/>
      <c r="B1177" s="126" t="s">
        <v>418</v>
      </c>
      <c r="C1177" s="98"/>
      <c r="D1177" s="99"/>
      <c r="E1177" s="99"/>
      <c r="F1177" s="99"/>
      <c r="G1177" s="99"/>
      <c r="H1177" s="99"/>
      <c r="I1177" s="100"/>
      <c r="J1177" s="101"/>
      <c r="K1177" s="101"/>
      <c r="L1177" s="101"/>
      <c r="M1177" s="101"/>
      <c r="N1177" s="101"/>
      <c r="O1177" s="101"/>
      <c r="P1177" s="101"/>
      <c r="Q1177" s="101"/>
    </row>
    <row r="1178" spans="1:17" ht="15" customHeight="1" x14ac:dyDescent="0.3">
      <c r="A1178" s="42"/>
      <c r="B1178" s="97"/>
      <c r="C1178" s="98"/>
      <c r="D1178" s="99"/>
      <c r="E1178" s="99"/>
      <c r="F1178" s="99"/>
      <c r="G1178" s="99"/>
      <c r="H1178" s="99"/>
      <c r="I1178" s="100"/>
      <c r="J1178" s="101"/>
      <c r="K1178" s="101"/>
      <c r="L1178" s="101"/>
      <c r="M1178" s="101"/>
      <c r="N1178" s="101"/>
      <c r="O1178" s="101"/>
      <c r="P1178" s="101"/>
      <c r="Q1178" s="101"/>
    </row>
    <row r="1179" spans="1:17" ht="15" customHeight="1" x14ac:dyDescent="0.3">
      <c r="A1179" s="42"/>
      <c r="B1179" s="59" t="s">
        <v>711</v>
      </c>
      <c r="C1179" s="59" t="s">
        <v>712</v>
      </c>
      <c r="D1179" s="59"/>
      <c r="E1179" s="59"/>
      <c r="F1179" s="59"/>
      <c r="G1179" s="59"/>
      <c r="H1179" s="59"/>
      <c r="I1179" s="61"/>
      <c r="J1179" s="62"/>
      <c r="K1179" s="62"/>
      <c r="L1179" s="62"/>
      <c r="M1179" s="62"/>
      <c r="N1179" s="62"/>
      <c r="O1179" s="62"/>
      <c r="P1179" s="62"/>
      <c r="Q1179" s="62"/>
    </row>
    <row r="1180" spans="1:17" ht="15" customHeight="1" x14ac:dyDescent="0.3">
      <c r="A1180" s="93"/>
      <c r="B1180" s="86"/>
      <c r="C1180" s="86"/>
      <c r="D1180" s="86"/>
      <c r="E1180" s="86"/>
      <c r="F1180" s="86"/>
      <c r="G1180" s="86"/>
      <c r="H1180" s="86"/>
      <c r="I1180" s="55"/>
      <c r="J1180" s="56"/>
      <c r="K1180" s="56"/>
      <c r="L1180" s="56"/>
      <c r="M1180" s="56"/>
      <c r="N1180" s="56"/>
      <c r="O1180" s="56"/>
      <c r="P1180" s="56"/>
      <c r="Q1180" s="56"/>
    </row>
    <row r="1181" spans="1:17" ht="29.1" customHeight="1" x14ac:dyDescent="0.25">
      <c r="A1181" s="127" t="s">
        <v>713</v>
      </c>
      <c r="B1181" s="77"/>
      <c r="C1181" s="187" t="s">
        <v>41</v>
      </c>
      <c r="D1181" s="187"/>
      <c r="E1181" s="187"/>
      <c r="F1181" s="187"/>
      <c r="G1181" s="187"/>
      <c r="H1181" s="187"/>
      <c r="I1181" s="78" t="s">
        <v>42</v>
      </c>
      <c r="J1181" s="41" t="s">
        <v>43</v>
      </c>
      <c r="K1181" s="41">
        <v>1000</v>
      </c>
      <c r="L1181" s="41">
        <v>2000</v>
      </c>
      <c r="M1181" s="41">
        <v>3000</v>
      </c>
      <c r="N1181" s="41">
        <v>4000</v>
      </c>
      <c r="O1181" s="41">
        <v>5000</v>
      </c>
      <c r="P1181" s="41">
        <v>6000</v>
      </c>
      <c r="Q1181" s="41">
        <v>7000</v>
      </c>
    </row>
    <row r="1182" spans="1:17" ht="15" customHeight="1" x14ac:dyDescent="0.3">
      <c r="A1182" s="42"/>
      <c r="B1182" s="43" t="s">
        <v>714</v>
      </c>
      <c r="C1182" s="44" t="s">
        <v>45</v>
      </c>
      <c r="D1182" s="45" t="s">
        <v>60</v>
      </c>
      <c r="E1182" s="46" t="s">
        <v>47</v>
      </c>
      <c r="F1182" s="45" t="s">
        <v>152</v>
      </c>
      <c r="G1182" s="46" t="s">
        <v>48</v>
      </c>
      <c r="H1182" s="45" t="s">
        <v>64</v>
      </c>
      <c r="I1182" s="48">
        <v>11.3</v>
      </c>
      <c r="J1182" s="49">
        <f>ROUND((2717*$T$1),0)*1.05</f>
        <v>2852.85</v>
      </c>
      <c r="K1182" s="49">
        <f>ROUND((3019*$T$1),0)*1.05</f>
        <v>3169.9500000000003</v>
      </c>
      <c r="L1182" s="49">
        <f>ROUND((3089*$T$1),0)*1.05</f>
        <v>3243.4500000000003</v>
      </c>
      <c r="M1182" s="49">
        <f>ROUND((3169*$T$1),0)*1.05</f>
        <v>3327.4500000000003</v>
      </c>
      <c r="N1182" s="49">
        <f>ROUND((3252*$T$1),0)*1.05</f>
        <v>3414.6000000000004</v>
      </c>
      <c r="O1182" s="49">
        <f>ROUND((3301*$T$1),0)*1.05</f>
        <v>3466.05</v>
      </c>
      <c r="P1182" s="49">
        <f>ROUND((3447*$T$1),0)*1.05</f>
        <v>3619.3500000000004</v>
      </c>
      <c r="Q1182" s="49">
        <f>ROUND((3689*$T$1),0)*1.05</f>
        <v>3873.4500000000003</v>
      </c>
    </row>
    <row r="1183" spans="1:17" ht="15" customHeight="1" x14ac:dyDescent="0.3">
      <c r="A1183" s="42"/>
      <c r="B1183" s="43" t="s">
        <v>715</v>
      </c>
      <c r="C1183" s="44" t="s">
        <v>45</v>
      </c>
      <c r="D1183" s="45" t="s">
        <v>58</v>
      </c>
      <c r="E1183" s="46" t="s">
        <v>47</v>
      </c>
      <c r="F1183" s="45" t="s">
        <v>152</v>
      </c>
      <c r="G1183" s="46" t="s">
        <v>48</v>
      </c>
      <c r="H1183" s="45" t="s">
        <v>64</v>
      </c>
      <c r="I1183" s="48">
        <v>11.8</v>
      </c>
      <c r="J1183" s="49">
        <f>ROUND((2860*$T$1),0)*1.05</f>
        <v>3003</v>
      </c>
      <c r="K1183" s="49">
        <f>ROUND((3177*$T$1),0)*1.05</f>
        <v>3335.8500000000004</v>
      </c>
      <c r="L1183" s="49">
        <f>ROUND((3252*$T$1),0)*1.05</f>
        <v>3414.6000000000004</v>
      </c>
      <c r="M1183" s="49">
        <f>ROUND((3337*$T$1),0)*1.05</f>
        <v>3503.8500000000004</v>
      </c>
      <c r="N1183" s="49">
        <f>ROUND((3422*$T$1),0)*1.05</f>
        <v>3593.1000000000004</v>
      </c>
      <c r="O1183" s="49">
        <f>ROUND((3474*$T$1),0)*1.05</f>
        <v>3647.7000000000003</v>
      </c>
      <c r="P1183" s="49">
        <f>ROUND((3627*$T$1),0)*1.05</f>
        <v>3808.3500000000004</v>
      </c>
      <c r="Q1183" s="49">
        <f>ROUND((3884*$T$1),0)*1.05</f>
        <v>4078.2000000000003</v>
      </c>
    </row>
    <row r="1184" spans="1:17" ht="15" customHeight="1" x14ac:dyDescent="0.3">
      <c r="A1184" s="42"/>
      <c r="B1184" s="43" t="s">
        <v>716</v>
      </c>
      <c r="C1184" s="44" t="s">
        <v>45</v>
      </c>
      <c r="D1184" s="45" t="s">
        <v>83</v>
      </c>
      <c r="E1184" s="46" t="s">
        <v>47</v>
      </c>
      <c r="F1184" s="45" t="s">
        <v>152</v>
      </c>
      <c r="G1184" s="46" t="s">
        <v>48</v>
      </c>
      <c r="H1184" s="45" t="s">
        <v>64</v>
      </c>
      <c r="I1184" s="48">
        <v>12.4</v>
      </c>
      <c r="J1184" s="49">
        <f>ROUND((3011*$T$1),0)*1.05</f>
        <v>3161.55</v>
      </c>
      <c r="K1184" s="49">
        <f>ROUND((3345*$T$1),0)*1.05</f>
        <v>3512.25</v>
      </c>
      <c r="L1184" s="49">
        <f>ROUND((3422*$T$1),0)*1.05</f>
        <v>3593.1000000000004</v>
      </c>
      <c r="M1184" s="49">
        <f>ROUND((3512*$T$1),0)*1.05</f>
        <v>3687.6000000000004</v>
      </c>
      <c r="N1184" s="49">
        <f>ROUND((3603*$T$1),0)*1.05</f>
        <v>3783.15</v>
      </c>
      <c r="O1184" s="49">
        <f>ROUND((3657*$T$1),0)*1.05</f>
        <v>3839.8500000000004</v>
      </c>
      <c r="P1184" s="49">
        <f>ROUND((3818*$T$1),0)*1.05</f>
        <v>4008.9</v>
      </c>
      <c r="Q1184" s="49">
        <f>ROUND((4088*$T$1),0)*1.05</f>
        <v>4292.4000000000005</v>
      </c>
    </row>
    <row r="1185" spans="1:17" ht="15" customHeight="1" x14ac:dyDescent="0.3">
      <c r="A1185" s="42"/>
      <c r="B1185" s="43" t="s">
        <v>717</v>
      </c>
      <c r="C1185" s="44" t="s">
        <v>45</v>
      </c>
      <c r="D1185" s="45" t="s">
        <v>81</v>
      </c>
      <c r="E1185" s="46" t="s">
        <v>47</v>
      </c>
      <c r="F1185" s="45" t="s">
        <v>152</v>
      </c>
      <c r="G1185" s="46" t="s">
        <v>48</v>
      </c>
      <c r="H1185" s="45" t="s">
        <v>64</v>
      </c>
      <c r="I1185" s="48">
        <v>13</v>
      </c>
      <c r="J1185" s="49">
        <f>ROUND((3169*$T$1),0)*1.05</f>
        <v>3327.4500000000003</v>
      </c>
      <c r="K1185" s="49">
        <f>ROUND((3521*$T$1),0)*1.05</f>
        <v>3697.05</v>
      </c>
      <c r="L1185" s="49">
        <f>ROUND((3603*$T$1),0)*1.05</f>
        <v>3783.15</v>
      </c>
      <c r="M1185" s="49">
        <f>ROUND((3697*$T$1),0)*1.05</f>
        <v>3881.8500000000004</v>
      </c>
      <c r="N1185" s="49">
        <f>ROUND((3793*$T$1),0)*1.05</f>
        <v>3982.65</v>
      </c>
      <c r="O1185" s="49">
        <f>ROUND((3849*$T$1),0)*1.05</f>
        <v>4041.4500000000003</v>
      </c>
      <c r="P1185" s="49">
        <f>ROUND((4019*$T$1),0)*1.05</f>
        <v>4219.95</v>
      </c>
      <c r="Q1185" s="49">
        <f>ROUND((4303*$T$1),0)*1.05</f>
        <v>4518.1500000000005</v>
      </c>
    </row>
    <row r="1186" spans="1:17" ht="15" customHeight="1" x14ac:dyDescent="0.3">
      <c r="A1186" s="42"/>
      <c r="B1186" s="43"/>
      <c r="C1186" s="44"/>
      <c r="D1186" s="45"/>
      <c r="E1186" s="46"/>
      <c r="F1186" s="45"/>
      <c r="G1186" s="46"/>
      <c r="H1186" s="45"/>
      <c r="I1186" s="48"/>
      <c r="J1186" s="49"/>
      <c r="K1186" s="49"/>
      <c r="L1186" s="49"/>
      <c r="M1186" s="49"/>
      <c r="N1186" s="49"/>
      <c r="O1186" s="49"/>
      <c r="P1186" s="49"/>
      <c r="Q1186" s="49"/>
    </row>
    <row r="1187" spans="1:17" ht="15" customHeight="1" x14ac:dyDescent="0.3">
      <c r="A1187" s="42"/>
      <c r="B1187" s="43" t="s">
        <v>718</v>
      </c>
      <c r="C1187" s="44" t="s">
        <v>45</v>
      </c>
      <c r="D1187" s="47" t="s">
        <v>64</v>
      </c>
      <c r="E1187" s="46" t="s">
        <v>47</v>
      </c>
      <c r="F1187" s="47" t="s">
        <v>152</v>
      </c>
      <c r="G1187" s="46" t="s">
        <v>48</v>
      </c>
      <c r="H1187" s="47" t="s">
        <v>64</v>
      </c>
      <c r="I1187" s="48">
        <v>9.5</v>
      </c>
      <c r="J1187" s="49">
        <f>ROUND((2523*$T$1),0)*1.05</f>
        <v>2649.15</v>
      </c>
      <c r="K1187" s="49">
        <f>ROUND((2804*$T$1),0)*1.05</f>
        <v>2944.2000000000003</v>
      </c>
      <c r="L1187" s="49">
        <f>ROUND((2859*$T$1),0)*1.05</f>
        <v>3001.9500000000003</v>
      </c>
      <c r="M1187" s="49">
        <f>ROUND((2924*$T$1),0)*1.05</f>
        <v>3070.2000000000003</v>
      </c>
      <c r="N1187" s="49">
        <f>ROUND((2989*$T$1),0)*1.05</f>
        <v>3138.4500000000003</v>
      </c>
      <c r="O1187" s="49">
        <f>ROUND((3028*$T$1),0)*1.05</f>
        <v>3179.4</v>
      </c>
      <c r="P1187" s="49">
        <f>ROUND((3145*$T$1),0)*1.05</f>
        <v>3302.25</v>
      </c>
      <c r="Q1187" s="49">
        <f>ROUND((3340*$T$1),0)*1.05</f>
        <v>3507</v>
      </c>
    </row>
    <row r="1188" spans="1:17" ht="15" customHeight="1" x14ac:dyDescent="0.3">
      <c r="A1188" s="42"/>
      <c r="B1188" s="43" t="s">
        <v>719</v>
      </c>
      <c r="C1188" s="44" t="s">
        <v>45</v>
      </c>
      <c r="D1188" s="45" t="s">
        <v>62</v>
      </c>
      <c r="E1188" s="46" t="s">
        <v>47</v>
      </c>
      <c r="F1188" s="45" t="s">
        <v>152</v>
      </c>
      <c r="G1188" s="46" t="s">
        <v>48</v>
      </c>
      <c r="H1188" s="45" t="s">
        <v>64</v>
      </c>
      <c r="I1188" s="48">
        <v>10</v>
      </c>
      <c r="J1188" s="49">
        <f>ROUND((2655*$T$1),0)*1.05</f>
        <v>2787.75</v>
      </c>
      <c r="K1188" s="49">
        <f>ROUND((2951*$T$1),0)*1.05</f>
        <v>3098.55</v>
      </c>
      <c r="L1188" s="49">
        <f>ROUND((3010*$T$1),0)*1.05</f>
        <v>3160.5</v>
      </c>
      <c r="M1188" s="49">
        <f>ROUND((3079*$T$1),0)*1.05</f>
        <v>3232.9500000000003</v>
      </c>
      <c r="N1188" s="49">
        <f>ROUND((3145*$T$1),0)*1.05</f>
        <v>3302.25</v>
      </c>
      <c r="O1188" s="49">
        <f>ROUND((3188*$T$1),0)*1.05</f>
        <v>3347.4</v>
      </c>
      <c r="P1188" s="49">
        <f>ROUND((3311*$T$1),0)*1.05</f>
        <v>3476.55</v>
      </c>
      <c r="Q1188" s="49">
        <f>ROUND((3516*$T$1),0)*1.05</f>
        <v>3691.8</v>
      </c>
    </row>
    <row r="1189" spans="1:17" ht="15" customHeight="1" x14ac:dyDescent="0.3">
      <c r="A1189" s="42"/>
      <c r="B1189" s="43" t="s">
        <v>720</v>
      </c>
      <c r="C1189" s="44" t="s">
        <v>45</v>
      </c>
      <c r="D1189" s="45" t="s">
        <v>60</v>
      </c>
      <c r="E1189" s="46" t="s">
        <v>47</v>
      </c>
      <c r="F1189" s="45" t="s">
        <v>152</v>
      </c>
      <c r="G1189" s="46" t="s">
        <v>48</v>
      </c>
      <c r="H1189" s="45" t="s">
        <v>64</v>
      </c>
      <c r="I1189" s="48">
        <v>10.5</v>
      </c>
      <c r="J1189" s="49">
        <f>ROUND((2796*$T$1),0)*1.05</f>
        <v>2935.8</v>
      </c>
      <c r="K1189" s="49">
        <f>ROUND((3106*$T$1),0)*1.05</f>
        <v>3261.3</v>
      </c>
      <c r="L1189" s="49">
        <f>ROUND((3168*$T$1),0)*1.05</f>
        <v>3326.4</v>
      </c>
      <c r="M1189" s="49">
        <f>ROUND((3241*$T$1),0)*1.05</f>
        <v>3403.05</v>
      </c>
      <c r="N1189" s="49">
        <f>ROUND((3311*$T$1),0)*1.05</f>
        <v>3476.55</v>
      </c>
      <c r="O1189" s="49">
        <f>ROUND((3355*$T$1),0)*1.05</f>
        <v>3522.75</v>
      </c>
      <c r="P1189" s="49">
        <f>ROUND((3486*$T$1),0)*1.05</f>
        <v>3660.3</v>
      </c>
      <c r="Q1189" s="49">
        <f>ROUND((3701*$T$1),0)*1.05</f>
        <v>3886.05</v>
      </c>
    </row>
    <row r="1190" spans="1:17" ht="15" customHeight="1" x14ac:dyDescent="0.3">
      <c r="A1190" s="42"/>
      <c r="B1190" s="43" t="s">
        <v>721</v>
      </c>
      <c r="C1190" s="44" t="s">
        <v>45</v>
      </c>
      <c r="D1190" s="45" t="s">
        <v>58</v>
      </c>
      <c r="E1190" s="46" t="s">
        <v>47</v>
      </c>
      <c r="F1190" s="45" t="s">
        <v>152</v>
      </c>
      <c r="G1190" s="46" t="s">
        <v>48</v>
      </c>
      <c r="H1190" s="45" t="s">
        <v>64</v>
      </c>
      <c r="I1190" s="48">
        <v>11</v>
      </c>
      <c r="J1190" s="49">
        <f>ROUND((2943*$T$1),0)*1.05</f>
        <v>3090.15</v>
      </c>
      <c r="K1190" s="49">
        <f>ROUND((3269*$T$1),0)*1.05</f>
        <v>3432.4500000000003</v>
      </c>
      <c r="L1190" s="49">
        <f>ROUND((3335*$T$1),0)*1.05</f>
        <v>3501.75</v>
      </c>
      <c r="M1190" s="49">
        <f>ROUND((3411*$T$1),0)*1.05</f>
        <v>3581.55</v>
      </c>
      <c r="N1190" s="49">
        <f>ROUND((3486*$T$1),0)*1.05</f>
        <v>3660.3</v>
      </c>
      <c r="O1190" s="49">
        <f>ROUND((3532*$T$1),0)*1.05</f>
        <v>3708.6000000000004</v>
      </c>
      <c r="P1190" s="49">
        <f>ROUND((3669*$T$1),0)*1.05</f>
        <v>3852.4500000000003</v>
      </c>
      <c r="Q1190" s="49">
        <f>ROUND((3895*$T$1),0)*1.05</f>
        <v>4089.75</v>
      </c>
    </row>
    <row r="1191" spans="1:17" ht="15" customHeight="1" x14ac:dyDescent="0.3">
      <c r="A1191" s="42"/>
      <c r="B1191" s="43"/>
      <c r="C1191" s="44"/>
      <c r="D1191" s="47"/>
      <c r="E1191" s="46"/>
      <c r="F1191" s="47"/>
      <c r="G1191" s="46"/>
      <c r="H1191" s="47"/>
      <c r="I1191" s="102"/>
      <c r="J1191" s="87"/>
      <c r="K1191" s="87"/>
      <c r="L1191" s="87"/>
      <c r="M1191" s="87"/>
      <c r="N1191" s="87"/>
      <c r="O1191" s="87"/>
      <c r="P1191" s="87"/>
      <c r="Q1191" s="87"/>
    </row>
    <row r="1192" spans="1:17" ht="15" customHeight="1" x14ac:dyDescent="0.3">
      <c r="A1192" s="42"/>
      <c r="B1192" s="43"/>
      <c r="C1192" s="191"/>
      <c r="D1192" s="191"/>
      <c r="E1192" s="191"/>
      <c r="F1192" s="191"/>
      <c r="G1192" s="191"/>
      <c r="H1192" s="191"/>
      <c r="I1192" s="191"/>
    </row>
    <row r="1193" spans="1:17" ht="15" customHeight="1" x14ac:dyDescent="0.3">
      <c r="A1193" s="42"/>
      <c r="B1193" s="43"/>
      <c r="C1193" s="44"/>
      <c r="D1193" s="47"/>
      <c r="E1193" s="46"/>
      <c r="F1193" s="47"/>
      <c r="G1193" s="46"/>
      <c r="H1193" s="47"/>
      <c r="I1193" s="102"/>
      <c r="J1193" s="87"/>
      <c r="K1193" s="87"/>
      <c r="L1193" s="87"/>
      <c r="M1193" s="87"/>
      <c r="N1193" s="87"/>
      <c r="O1193" s="87"/>
      <c r="P1193" s="87"/>
      <c r="Q1193" s="87"/>
    </row>
    <row r="1194" spans="1:17" ht="15" customHeight="1" x14ac:dyDescent="0.3">
      <c r="A1194" s="42"/>
      <c r="B1194" s="43"/>
      <c r="C1194" s="44"/>
      <c r="D1194" s="47"/>
      <c r="E1194" s="46"/>
      <c r="F1194" s="47"/>
      <c r="G1194" s="46"/>
      <c r="H1194" s="47"/>
      <c r="I1194" s="102"/>
      <c r="J1194" s="87"/>
      <c r="K1194" s="87"/>
      <c r="L1194" s="87"/>
      <c r="M1194" s="87"/>
      <c r="N1194" s="87"/>
      <c r="O1194" s="87"/>
      <c r="P1194" s="87"/>
      <c r="Q1194" s="87"/>
    </row>
    <row r="1195" spans="1:17" ht="15" customHeight="1" x14ac:dyDescent="0.3">
      <c r="A1195" s="42"/>
      <c r="B1195" s="43"/>
      <c r="C1195" s="44"/>
      <c r="D1195" s="47"/>
      <c r="E1195" s="46"/>
      <c r="F1195" s="47"/>
      <c r="G1195" s="46"/>
      <c r="H1195" s="47"/>
      <c r="I1195" s="102"/>
      <c r="J1195" s="87"/>
      <c r="K1195" s="87"/>
      <c r="L1195" s="87"/>
      <c r="M1195" s="87" t="s">
        <v>134</v>
      </c>
      <c r="N1195" s="87"/>
      <c r="O1195" s="87"/>
      <c r="P1195" s="87"/>
      <c r="Q1195" s="87"/>
    </row>
    <row r="1196" spans="1:17" ht="15" customHeight="1" x14ac:dyDescent="0.3">
      <c r="A1196" s="42"/>
      <c r="B1196" s="59" t="s">
        <v>722</v>
      </c>
      <c r="C1196" s="59" t="s">
        <v>723</v>
      </c>
      <c r="D1196" s="59"/>
      <c r="E1196" s="59"/>
      <c r="F1196" s="59"/>
      <c r="G1196" s="59"/>
      <c r="H1196" s="59"/>
      <c r="I1196" s="61"/>
      <c r="J1196" s="62"/>
      <c r="K1196" s="62"/>
      <c r="L1196" s="62"/>
      <c r="M1196" s="62"/>
      <c r="N1196" s="62"/>
      <c r="O1196" s="62"/>
      <c r="P1196" s="62"/>
      <c r="Q1196" s="62"/>
    </row>
    <row r="1197" spans="1:17" ht="15" customHeight="1" x14ac:dyDescent="0.3">
      <c r="A1197" s="155"/>
      <c r="B1197" s="109"/>
      <c r="C1197" s="156"/>
      <c r="D1197" s="156"/>
      <c r="E1197" s="156"/>
      <c r="F1197" s="156"/>
      <c r="G1197" s="156"/>
      <c r="H1197" s="156"/>
      <c r="I1197" s="111"/>
      <c r="J1197" s="112"/>
      <c r="K1197" s="112"/>
      <c r="L1197" s="112"/>
      <c r="M1197" s="112"/>
      <c r="N1197" s="112"/>
      <c r="O1197" s="112"/>
      <c r="P1197" s="112"/>
      <c r="Q1197" s="112"/>
    </row>
    <row r="1198" spans="1:17" ht="29.1" customHeight="1" x14ac:dyDescent="0.25">
      <c r="A1198" s="157" t="s">
        <v>724</v>
      </c>
      <c r="B1198" s="77"/>
      <c r="C1198" s="187" t="s">
        <v>41</v>
      </c>
      <c r="D1198" s="187"/>
      <c r="E1198" s="187"/>
      <c r="F1198" s="187"/>
      <c r="G1198" s="187"/>
      <c r="H1198" s="187"/>
      <c r="I1198" s="78" t="s">
        <v>42</v>
      </c>
      <c r="J1198" s="41" t="s">
        <v>43</v>
      </c>
      <c r="K1198" s="41">
        <v>1000</v>
      </c>
      <c r="L1198" s="41">
        <v>2000</v>
      </c>
      <c r="M1198" s="41">
        <v>3000</v>
      </c>
      <c r="N1198" s="41">
        <v>4000</v>
      </c>
      <c r="O1198" s="41">
        <v>5000</v>
      </c>
      <c r="P1198" s="41">
        <v>6000</v>
      </c>
      <c r="Q1198" s="41">
        <v>7000</v>
      </c>
    </row>
    <row r="1199" spans="1:17" ht="18.75" x14ac:dyDescent="0.3">
      <c r="A1199" s="42"/>
      <c r="B1199" s="43" t="s">
        <v>725</v>
      </c>
      <c r="C1199" s="44" t="s">
        <v>45</v>
      </c>
      <c r="D1199" s="47">
        <v>1.72</v>
      </c>
      <c r="E1199" s="46" t="s">
        <v>47</v>
      </c>
      <c r="F1199" s="47">
        <v>1.17</v>
      </c>
      <c r="G1199" s="46" t="s">
        <v>48</v>
      </c>
      <c r="H1199" s="47">
        <v>0.84</v>
      </c>
      <c r="I1199" s="48">
        <v>14</v>
      </c>
      <c r="J1199" s="49">
        <f>ROUND((3442*$T$1),0)*1.05</f>
        <v>3614.1000000000004</v>
      </c>
      <c r="K1199" s="49">
        <f>ROUND((3825*$T$1),0)*1.05</f>
        <v>4016.25</v>
      </c>
      <c r="L1199" s="49">
        <f>ROUND((3908*$T$1),0)*1.05</f>
        <v>4103.4000000000005</v>
      </c>
      <c r="M1199" s="49">
        <f>ROUND((4004*$T$1),0)*1.05</f>
        <v>4204.2</v>
      </c>
      <c r="N1199" s="49">
        <f>ROUND((4101*$T$1),0)*1.05</f>
        <v>4306.05</v>
      </c>
      <c r="O1199" s="49">
        <f>ROUND((4158*$T$1),0)*1.05</f>
        <v>4365.9000000000005</v>
      </c>
      <c r="P1199" s="49">
        <f>ROUND((4332*$T$1),0)*1.05</f>
        <v>4548.6000000000004</v>
      </c>
      <c r="Q1199" s="49">
        <f>ROUND((4622*$T$1),0)*1.05</f>
        <v>4853.1000000000004</v>
      </c>
    </row>
    <row r="1200" spans="1:17" ht="15" customHeight="1" x14ac:dyDescent="0.3">
      <c r="A1200" s="42"/>
      <c r="B1200" s="43" t="s">
        <v>726</v>
      </c>
      <c r="C1200" s="44" t="s">
        <v>45</v>
      </c>
      <c r="D1200" s="47">
        <v>1.52</v>
      </c>
      <c r="E1200" s="46" t="s">
        <v>47</v>
      </c>
      <c r="F1200" s="47">
        <v>1.17</v>
      </c>
      <c r="G1200" s="46" t="s">
        <v>48</v>
      </c>
      <c r="H1200" s="47">
        <v>0.84</v>
      </c>
      <c r="I1200" s="48">
        <v>13</v>
      </c>
      <c r="J1200" s="49">
        <f>ROUND((3290*$T$1),0)*1.05</f>
        <v>3454.5</v>
      </c>
      <c r="K1200" s="49">
        <f>ROUND((3656*$T$1),0)*1.05</f>
        <v>3838.8</v>
      </c>
      <c r="L1200" s="49">
        <f>ROUND((3732*$T$1),0)*1.05</f>
        <v>3918.6000000000004</v>
      </c>
      <c r="M1200" s="49">
        <f>ROUND((3820*$T$1),0)*1.05</f>
        <v>4011</v>
      </c>
      <c r="N1200" s="49">
        <f>ROUND((3909*$T$1),0)*1.05</f>
        <v>4104.45</v>
      </c>
      <c r="O1200" s="49">
        <f>ROUND((3962*$T$1),0)*1.05</f>
        <v>4160.1000000000004</v>
      </c>
      <c r="P1200" s="49">
        <f>ROUND((4120*$T$1),0)*1.05</f>
        <v>4326</v>
      </c>
      <c r="Q1200" s="49">
        <f>ROUND((4385*$T$1),0)*1.05</f>
        <v>4604.25</v>
      </c>
    </row>
    <row r="1201" spans="1:17" ht="15" customHeight="1" x14ac:dyDescent="0.3">
      <c r="A1201" s="42"/>
      <c r="B1201" s="43" t="s">
        <v>727</v>
      </c>
      <c r="C1201" s="44" t="s">
        <v>45</v>
      </c>
      <c r="D1201" s="47">
        <v>1.02</v>
      </c>
      <c r="E1201" s="46" t="s">
        <v>47</v>
      </c>
      <c r="F1201" s="47">
        <v>1.17</v>
      </c>
      <c r="G1201" s="46" t="s">
        <v>48</v>
      </c>
      <c r="H1201" s="47">
        <v>0.84</v>
      </c>
      <c r="I1201" s="48">
        <v>11</v>
      </c>
      <c r="J1201" s="49">
        <f>ROUND((2790*$T$1),0)*1.05</f>
        <v>2929.5</v>
      </c>
      <c r="K1201" s="49">
        <f>ROUND((3100*$T$1),0)*1.05</f>
        <v>3255</v>
      </c>
      <c r="L1201" s="49">
        <f>ROUND((3165*$T$1),0)*1.05</f>
        <v>3323.25</v>
      </c>
      <c r="M1201" s="49">
        <f>ROUND((3238*$T$1),0)*1.05</f>
        <v>3399.9</v>
      </c>
      <c r="N1201" s="49">
        <f>ROUND((3313*$T$1),0)*1.05</f>
        <v>3478.65</v>
      </c>
      <c r="O1201" s="49">
        <f>ROUND((3358*$T$1),0)*1.05</f>
        <v>3525.9</v>
      </c>
      <c r="P1201" s="49">
        <f>ROUND((3491*$T$1),0)*1.05</f>
        <v>3665.55</v>
      </c>
      <c r="Q1201" s="49">
        <f>ROUND((3715*$T$1),0)*1.05</f>
        <v>3900.75</v>
      </c>
    </row>
    <row r="1202" spans="1:17" ht="15" customHeight="1" x14ac:dyDescent="0.3">
      <c r="A1202" s="42"/>
      <c r="B1202" s="43" t="s">
        <v>728</v>
      </c>
      <c r="C1202" s="44" t="s">
        <v>45</v>
      </c>
      <c r="D1202" s="47">
        <v>0.95</v>
      </c>
      <c r="E1202" s="46" t="s">
        <v>47</v>
      </c>
      <c r="F1202" s="47">
        <v>1.17</v>
      </c>
      <c r="G1202" s="46" t="s">
        <v>48</v>
      </c>
      <c r="H1202" s="47">
        <v>0.84</v>
      </c>
      <c r="I1202" s="48">
        <v>8</v>
      </c>
      <c r="J1202" s="49">
        <f>ROUND((2283*$T$1),0)*1.05</f>
        <v>2397.15</v>
      </c>
      <c r="K1202" s="49">
        <f>ROUND((2536*$T$1),0)*1.05</f>
        <v>2662.8</v>
      </c>
      <c r="L1202" s="49">
        <f>ROUND((2586*$T$1),0)*1.05</f>
        <v>2715.3</v>
      </c>
      <c r="M1202" s="49">
        <f>ROUND((2644*$T$1),0)*1.05</f>
        <v>2776.2000000000003</v>
      </c>
      <c r="N1202" s="49">
        <f>ROUND((2703*$T$1),0)*1.05</f>
        <v>2838.15</v>
      </c>
      <c r="O1202" s="49">
        <f>ROUND((2737*$T$1),0)*1.05</f>
        <v>2873.85</v>
      </c>
      <c r="P1202" s="49">
        <f>ROUND((2942*$T$1),0)*1.05</f>
        <v>3089.1</v>
      </c>
      <c r="Q1202" s="49">
        <f>ROUND((3016*$T$1),0)*1.05</f>
        <v>3166.8</v>
      </c>
    </row>
    <row r="1203" spans="1:17" ht="15" customHeight="1" x14ac:dyDescent="0.3">
      <c r="A1203" s="42"/>
      <c r="B1203" s="43"/>
      <c r="C1203" s="44"/>
      <c r="D1203" s="47"/>
      <c r="E1203" s="46"/>
      <c r="F1203" s="47"/>
      <c r="G1203" s="46"/>
      <c r="H1203" s="47"/>
      <c r="I1203" s="57"/>
      <c r="J1203" s="58"/>
      <c r="K1203" s="58"/>
      <c r="L1203" s="58"/>
      <c r="M1203" s="58"/>
      <c r="N1203" s="58"/>
      <c r="O1203" s="58"/>
      <c r="P1203" s="58"/>
      <c r="Q1203" s="58"/>
    </row>
    <row r="1204" spans="1:17" ht="15" customHeight="1" x14ac:dyDescent="0.3">
      <c r="A1204" s="42"/>
      <c r="B1204" s="43"/>
      <c r="C1204" s="191"/>
      <c r="D1204" s="191"/>
      <c r="E1204" s="191"/>
      <c r="F1204" s="191"/>
      <c r="G1204" s="191"/>
      <c r="H1204" s="191"/>
      <c r="I1204" s="191"/>
    </row>
    <row r="1205" spans="1:17" ht="15" customHeight="1" x14ac:dyDescent="0.3">
      <c r="A1205" s="42"/>
      <c r="B1205" s="43"/>
      <c r="C1205" s="44"/>
      <c r="D1205" s="47"/>
      <c r="E1205" s="46"/>
      <c r="F1205" s="47"/>
      <c r="G1205" s="46"/>
      <c r="H1205" s="47"/>
      <c r="I1205" s="57"/>
      <c r="J1205" s="58"/>
      <c r="K1205" s="58"/>
      <c r="L1205" s="58"/>
      <c r="M1205" s="58"/>
      <c r="N1205" s="58"/>
      <c r="O1205" s="58"/>
      <c r="P1205" s="58"/>
      <c r="Q1205" s="58"/>
    </row>
    <row r="1206" spans="1:17" ht="15" customHeight="1" x14ac:dyDescent="0.3">
      <c r="A1206" s="42"/>
      <c r="B1206" s="43"/>
      <c r="C1206" s="44"/>
      <c r="D1206" s="47"/>
      <c r="E1206" s="46"/>
      <c r="F1206" s="47"/>
      <c r="G1206" s="46"/>
      <c r="H1206" s="47"/>
      <c r="I1206" s="57"/>
      <c r="J1206" s="58"/>
      <c r="K1206" s="58"/>
      <c r="L1206" s="58"/>
      <c r="M1206" s="58"/>
      <c r="N1206" s="58"/>
      <c r="O1206" s="58"/>
      <c r="P1206" s="58"/>
      <c r="Q1206" s="58"/>
    </row>
    <row r="1207" spans="1:17" ht="15" customHeight="1" x14ac:dyDescent="0.3">
      <c r="A1207" s="42"/>
      <c r="B1207" s="43"/>
      <c r="C1207" s="44"/>
      <c r="D1207" s="47"/>
      <c r="E1207" s="46"/>
      <c r="F1207" s="47"/>
      <c r="G1207" s="46"/>
      <c r="H1207" s="47"/>
      <c r="I1207" s="57"/>
      <c r="J1207" s="58"/>
      <c r="K1207" s="58"/>
      <c r="L1207" s="58"/>
      <c r="M1207" s="58"/>
      <c r="N1207" s="58"/>
      <c r="O1207" s="58"/>
      <c r="P1207" s="58"/>
      <c r="Q1207" s="58"/>
    </row>
    <row r="1208" spans="1:17" ht="15" customHeight="1" x14ac:dyDescent="0.3">
      <c r="A1208" s="42"/>
      <c r="B1208" s="43"/>
      <c r="C1208" s="44"/>
      <c r="D1208" s="47"/>
      <c r="E1208" s="46"/>
      <c r="F1208" s="47"/>
      <c r="G1208" s="46"/>
      <c r="H1208" s="47"/>
      <c r="I1208" s="57"/>
      <c r="J1208" s="58"/>
      <c r="K1208" s="58"/>
      <c r="L1208" s="58"/>
      <c r="M1208" s="58"/>
      <c r="N1208" s="58"/>
      <c r="O1208" s="58"/>
      <c r="P1208" s="58"/>
      <c r="Q1208" s="58"/>
    </row>
    <row r="1209" spans="1:17" ht="15" customHeight="1" x14ac:dyDescent="0.3">
      <c r="A1209" s="42"/>
      <c r="B1209" s="43"/>
      <c r="C1209" s="44"/>
      <c r="D1209" s="47"/>
      <c r="E1209" s="46"/>
      <c r="F1209" s="47"/>
      <c r="G1209" s="46"/>
      <c r="H1209" s="47"/>
      <c r="I1209" s="57"/>
      <c r="J1209" s="58"/>
      <c r="K1209" s="58"/>
      <c r="L1209" s="58"/>
      <c r="M1209" s="58"/>
      <c r="N1209" s="58"/>
      <c r="O1209" s="58"/>
      <c r="P1209" s="58"/>
      <c r="Q1209" s="58"/>
    </row>
    <row r="1210" spans="1:17" ht="15" customHeight="1" x14ac:dyDescent="0.3">
      <c r="A1210" s="42"/>
      <c r="B1210" s="43"/>
      <c r="C1210" s="44"/>
      <c r="D1210" s="47"/>
      <c r="E1210" s="46"/>
      <c r="F1210" s="47"/>
      <c r="G1210" s="46"/>
      <c r="H1210" s="47"/>
      <c r="I1210" s="57"/>
      <c r="J1210" s="58"/>
      <c r="K1210" s="58"/>
      <c r="L1210" s="58"/>
      <c r="M1210" s="58"/>
      <c r="N1210" s="58"/>
      <c r="O1210" s="58"/>
      <c r="P1210" s="58"/>
      <c r="Q1210" s="58"/>
    </row>
    <row r="1211" spans="1:17" ht="15" customHeight="1" x14ac:dyDescent="0.3">
      <c r="A1211" s="42"/>
      <c r="B1211" s="43"/>
      <c r="C1211" s="44"/>
      <c r="D1211" s="47"/>
      <c r="E1211" s="46"/>
      <c r="F1211" s="47"/>
      <c r="G1211" s="46"/>
      <c r="H1211" s="47"/>
      <c r="I1211" s="57"/>
      <c r="J1211" s="58"/>
      <c r="K1211" s="58"/>
      <c r="L1211" s="58"/>
      <c r="M1211" s="58"/>
      <c r="N1211" s="58"/>
      <c r="O1211" s="58"/>
      <c r="P1211" s="58"/>
      <c r="Q1211" s="58"/>
    </row>
    <row r="1212" spans="1:17" ht="15" customHeight="1" x14ac:dyDescent="0.3">
      <c r="A1212" s="42"/>
      <c r="B1212" s="43"/>
      <c r="C1212" s="44"/>
      <c r="D1212" s="47"/>
      <c r="E1212" s="46"/>
      <c r="F1212" s="47"/>
      <c r="G1212" s="46"/>
      <c r="H1212" s="47"/>
      <c r="I1212" s="57"/>
      <c r="J1212" s="58"/>
      <c r="K1212" s="58"/>
      <c r="L1212" s="58"/>
      <c r="M1212" s="87" t="s">
        <v>134</v>
      </c>
      <c r="N1212" s="58"/>
      <c r="O1212" s="58"/>
      <c r="P1212" s="58"/>
      <c r="Q1212" s="58"/>
    </row>
    <row r="1213" spans="1:17" ht="15" customHeight="1" x14ac:dyDescent="0.3">
      <c r="A1213" s="42"/>
      <c r="B1213" s="59" t="s">
        <v>729</v>
      </c>
      <c r="C1213" s="59" t="s">
        <v>730</v>
      </c>
      <c r="D1213" s="59"/>
      <c r="E1213" s="59"/>
      <c r="F1213" s="59"/>
      <c r="G1213" s="59"/>
      <c r="H1213" s="59"/>
      <c r="I1213" s="61"/>
      <c r="J1213" s="62"/>
      <c r="K1213" s="62"/>
      <c r="L1213" s="62"/>
      <c r="M1213" s="62"/>
      <c r="N1213" s="62"/>
      <c r="O1213" s="62"/>
      <c r="P1213" s="62"/>
      <c r="Q1213" s="62"/>
    </row>
    <row r="1214" spans="1:17" ht="15" customHeight="1" x14ac:dyDescent="0.3">
      <c r="A1214" s="42"/>
      <c r="B1214" s="63"/>
      <c r="C1214" s="63"/>
      <c r="D1214" s="65"/>
      <c r="E1214" s="49"/>
      <c r="F1214" s="66"/>
      <c r="G1214" s="48"/>
      <c r="H1214" s="66"/>
      <c r="I1214" s="48"/>
      <c r="J1214" s="49"/>
      <c r="K1214" s="49"/>
      <c r="L1214" s="49"/>
      <c r="M1214" s="49"/>
      <c r="N1214" s="49"/>
      <c r="O1214" s="49"/>
      <c r="P1214" s="49"/>
      <c r="Q1214" s="49"/>
    </row>
    <row r="1215" spans="1:17" ht="29.1" customHeight="1" x14ac:dyDescent="0.25">
      <c r="A1215" s="127" t="s">
        <v>731</v>
      </c>
      <c r="B1215" s="77"/>
      <c r="C1215" s="187" t="s">
        <v>41</v>
      </c>
      <c r="D1215" s="187"/>
      <c r="E1215" s="187"/>
      <c r="F1215" s="187"/>
      <c r="G1215" s="187"/>
      <c r="H1215" s="187"/>
      <c r="I1215" s="78" t="s">
        <v>42</v>
      </c>
      <c r="J1215" s="41" t="s">
        <v>43</v>
      </c>
      <c r="K1215" s="41">
        <v>1000</v>
      </c>
      <c r="L1215" s="41">
        <v>2000</v>
      </c>
      <c r="M1215" s="41">
        <v>3000</v>
      </c>
      <c r="N1215" s="41">
        <v>4000</v>
      </c>
      <c r="O1215" s="41">
        <v>5000</v>
      </c>
      <c r="P1215" s="41">
        <v>6000</v>
      </c>
      <c r="Q1215" s="41">
        <v>7000</v>
      </c>
    </row>
    <row r="1216" spans="1:17" ht="15" customHeight="1" x14ac:dyDescent="0.3">
      <c r="A1216" s="42"/>
      <c r="B1216" s="43" t="s">
        <v>732</v>
      </c>
      <c r="C1216" s="44" t="s">
        <v>45</v>
      </c>
      <c r="D1216" s="47">
        <v>2.0499999999999998</v>
      </c>
      <c r="E1216" s="46" t="s">
        <v>47</v>
      </c>
      <c r="F1216" s="47">
        <v>1.04</v>
      </c>
      <c r="G1216" s="46" t="s">
        <v>48</v>
      </c>
      <c r="H1216" s="47">
        <v>0.94</v>
      </c>
      <c r="I1216" s="48">
        <v>11</v>
      </c>
      <c r="J1216" s="49">
        <f>ROUND((3272*$T$1),0)*1.05</f>
        <v>3435.6000000000004</v>
      </c>
      <c r="K1216" s="49">
        <f>ROUND((3635*$T$1),0)*1.05</f>
        <v>3816.75</v>
      </c>
      <c r="L1216" s="49">
        <f>ROUND((3703*$T$1),0)*1.05</f>
        <v>3888.15</v>
      </c>
      <c r="M1216" s="49">
        <f>ROUND((3780*$T$1),0)*1.05</f>
        <v>3969</v>
      </c>
      <c r="N1216" s="49">
        <f>ROUND((3858*$T$1),0)*1.05</f>
        <v>4050.9</v>
      </c>
      <c r="O1216" s="49">
        <f>ROUND((3905*$T$1),0)*1.05</f>
        <v>4100.25</v>
      </c>
      <c r="P1216" s="49">
        <f>ROUND((4046*$T$1),0)*1.05</f>
        <v>4248.3</v>
      </c>
      <c r="Q1216" s="49">
        <f>ROUND((4280*$T$1),0)*1.05</f>
        <v>4494</v>
      </c>
    </row>
    <row r="1217" spans="1:17" ht="15" customHeight="1" x14ac:dyDescent="0.3">
      <c r="A1217" s="42"/>
      <c r="B1217" s="44"/>
      <c r="C1217" s="44"/>
      <c r="D1217" s="47"/>
      <c r="E1217" s="46"/>
      <c r="F1217" s="47"/>
      <c r="G1217" s="46"/>
      <c r="H1217" s="47"/>
      <c r="I1217" s="46"/>
      <c r="J1217" s="125"/>
      <c r="K1217" s="125"/>
      <c r="L1217" s="125"/>
      <c r="M1217" s="125"/>
      <c r="N1217" s="125"/>
      <c r="O1217" s="125"/>
      <c r="P1217" s="125"/>
      <c r="Q1217" s="125"/>
    </row>
    <row r="1218" spans="1:17" ht="15" customHeight="1" x14ac:dyDescent="0.3">
      <c r="A1218" s="42"/>
      <c r="B1218" s="44"/>
      <c r="C1218" s="44"/>
      <c r="D1218" s="47"/>
      <c r="E1218" s="46"/>
      <c r="F1218" s="47"/>
      <c r="G1218" s="46"/>
      <c r="H1218" s="47"/>
      <c r="I1218" s="57"/>
      <c r="J1218" s="58"/>
      <c r="K1218" s="58"/>
      <c r="L1218" s="58"/>
      <c r="M1218" s="58"/>
      <c r="N1218" s="58"/>
      <c r="O1218" s="58"/>
      <c r="P1218" s="58"/>
      <c r="Q1218" s="58"/>
    </row>
    <row r="1219" spans="1:17" ht="15" customHeight="1" x14ac:dyDescent="0.3">
      <c r="A1219" s="42"/>
      <c r="B1219" s="44"/>
      <c r="C1219" s="44"/>
      <c r="D1219" s="47"/>
      <c r="E1219" s="46"/>
      <c r="F1219" s="47"/>
      <c r="G1219" s="46"/>
      <c r="H1219" s="47"/>
      <c r="I1219" s="57"/>
      <c r="J1219" s="58"/>
      <c r="K1219" s="58"/>
      <c r="L1219" s="58"/>
      <c r="M1219" s="58"/>
      <c r="N1219" s="58"/>
      <c r="O1219" s="58"/>
      <c r="P1219" s="58"/>
      <c r="Q1219" s="58"/>
    </row>
    <row r="1220" spans="1:17" ht="15" customHeight="1" x14ac:dyDescent="0.3">
      <c r="A1220" s="42"/>
      <c r="B1220" s="44"/>
      <c r="C1220" s="44"/>
      <c r="D1220" s="47"/>
      <c r="E1220" s="46"/>
      <c r="F1220" s="47"/>
      <c r="G1220" s="46"/>
      <c r="H1220" s="47"/>
      <c r="I1220" s="57"/>
      <c r="J1220" s="58"/>
      <c r="K1220" s="58"/>
      <c r="L1220" s="58"/>
      <c r="M1220" s="58"/>
      <c r="N1220" s="58"/>
      <c r="O1220" s="58"/>
      <c r="P1220" s="58"/>
      <c r="Q1220" s="58"/>
    </row>
    <row r="1221" spans="1:17" ht="15" customHeight="1" x14ac:dyDescent="0.3">
      <c r="A1221" s="42"/>
      <c r="B1221" s="44"/>
      <c r="C1221" s="44"/>
      <c r="D1221" s="47"/>
      <c r="E1221" s="46"/>
      <c r="F1221" s="47"/>
      <c r="G1221" s="46"/>
      <c r="H1221" s="47"/>
      <c r="I1221" s="57"/>
      <c r="J1221" s="58"/>
      <c r="K1221" s="58"/>
      <c r="L1221" s="58"/>
      <c r="M1221" s="58"/>
      <c r="N1221" s="58"/>
      <c r="O1221" s="58"/>
      <c r="P1221" s="58"/>
      <c r="Q1221" s="58"/>
    </row>
    <row r="1222" spans="1:17" ht="15" customHeight="1" x14ac:dyDescent="0.3">
      <c r="A1222" s="42"/>
      <c r="B1222" s="97"/>
      <c r="C1222" s="98"/>
      <c r="D1222" s="99"/>
      <c r="E1222" s="99"/>
      <c r="F1222" s="99"/>
      <c r="G1222" s="99"/>
      <c r="H1222" s="99"/>
      <c r="I1222" s="100"/>
      <c r="J1222" s="101"/>
      <c r="K1222" s="101"/>
      <c r="L1222" s="101"/>
      <c r="M1222" s="87" t="s">
        <v>134</v>
      </c>
      <c r="N1222" s="101"/>
      <c r="O1222" s="101"/>
      <c r="P1222" s="101"/>
      <c r="Q1222" s="101"/>
    </row>
    <row r="1223" spans="1:17" ht="15" customHeight="1" x14ac:dyDescent="0.3">
      <c r="A1223" s="42"/>
      <c r="B1223" s="59" t="s">
        <v>733</v>
      </c>
      <c r="C1223" s="59" t="s">
        <v>734</v>
      </c>
      <c r="D1223" s="59"/>
      <c r="E1223" s="59"/>
      <c r="F1223" s="59"/>
      <c r="G1223" s="59"/>
      <c r="H1223" s="59"/>
      <c r="I1223" s="61"/>
      <c r="J1223" s="62"/>
      <c r="K1223" s="62"/>
      <c r="L1223" s="62"/>
      <c r="M1223" s="62"/>
      <c r="N1223" s="62"/>
      <c r="O1223" s="62"/>
      <c r="P1223" s="62"/>
      <c r="Q1223" s="62"/>
    </row>
    <row r="1224" spans="1:17" ht="15" customHeight="1" x14ac:dyDescent="0.3">
      <c r="A1224" s="42"/>
      <c r="B1224" s="63"/>
      <c r="C1224" s="63"/>
      <c r="D1224" s="65"/>
      <c r="E1224" s="49"/>
      <c r="F1224" s="66"/>
      <c r="G1224" s="48"/>
      <c r="H1224" s="66"/>
      <c r="I1224" s="48"/>
      <c r="J1224" s="49"/>
      <c r="K1224" s="49"/>
      <c r="L1224" s="49"/>
      <c r="M1224" s="49"/>
      <c r="N1224" s="49"/>
      <c r="O1224" s="49"/>
      <c r="P1224" s="49"/>
      <c r="Q1224" s="49"/>
    </row>
    <row r="1225" spans="1:17" ht="29.1" customHeight="1" x14ac:dyDescent="0.25">
      <c r="A1225" s="127" t="s">
        <v>735</v>
      </c>
      <c r="B1225" s="77"/>
      <c r="C1225" s="187" t="s">
        <v>41</v>
      </c>
      <c r="D1225" s="187"/>
      <c r="E1225" s="187"/>
      <c r="F1225" s="187"/>
      <c r="G1225" s="187"/>
      <c r="H1225" s="187"/>
      <c r="I1225" s="78" t="s">
        <v>42</v>
      </c>
      <c r="J1225" s="41" t="s">
        <v>43</v>
      </c>
      <c r="K1225" s="41">
        <v>1000</v>
      </c>
      <c r="L1225" s="41">
        <v>2000</v>
      </c>
      <c r="M1225" s="41">
        <v>3000</v>
      </c>
      <c r="N1225" s="41">
        <v>4000</v>
      </c>
      <c r="O1225" s="41">
        <v>5000</v>
      </c>
      <c r="P1225" s="41">
        <v>6000</v>
      </c>
      <c r="Q1225" s="41">
        <v>7000</v>
      </c>
    </row>
    <row r="1226" spans="1:17" ht="15" customHeight="1" x14ac:dyDescent="0.3">
      <c r="A1226" s="42"/>
      <c r="B1226" s="43" t="s">
        <v>736</v>
      </c>
      <c r="C1226" s="44" t="s">
        <v>45</v>
      </c>
      <c r="D1226" s="47">
        <v>2.2000000000000002</v>
      </c>
      <c r="E1226" s="46" t="s">
        <v>47</v>
      </c>
      <c r="F1226" s="47">
        <v>0.97</v>
      </c>
      <c r="G1226" s="46" t="s">
        <v>48</v>
      </c>
      <c r="H1226" s="47">
        <v>0.8</v>
      </c>
      <c r="I1226" s="48">
        <v>16</v>
      </c>
      <c r="J1226" s="49">
        <f>ROUND((4372*$T$1),0)*1.05</f>
        <v>4590.6000000000004</v>
      </c>
      <c r="K1226" s="49">
        <f>ROUND((4858*$T$1),0)*1.05</f>
        <v>5100.9000000000005</v>
      </c>
      <c r="L1226" s="49">
        <f>ROUND((4958*$T$1),0)*1.05</f>
        <v>5205.9000000000005</v>
      </c>
      <c r="M1226" s="49">
        <f>ROUND((5073*$T$1),0)*1.05</f>
        <v>5326.6500000000005</v>
      </c>
      <c r="N1226" s="49">
        <f>ROUND((5189*$T$1),0)*1.05</f>
        <v>5448.45</v>
      </c>
      <c r="O1226" s="49">
        <f>ROUND((5259*$T$1),0)*1.05</f>
        <v>5521.95</v>
      </c>
      <c r="P1226" s="49">
        <f>ROUND((5467*$T$1),0)*1.05</f>
        <v>5740.35</v>
      </c>
      <c r="Q1226" s="49">
        <f>ROUND((5814*$T$1),0)*1.05</f>
        <v>6104.7</v>
      </c>
    </row>
    <row r="1227" spans="1:17" ht="15" customHeight="1" x14ac:dyDescent="0.3">
      <c r="A1227" s="42"/>
      <c r="B1227" s="43"/>
      <c r="C1227" s="44"/>
      <c r="D1227" s="47"/>
      <c r="E1227" s="46"/>
      <c r="F1227" s="47"/>
      <c r="G1227" s="46"/>
      <c r="H1227" s="47"/>
      <c r="I1227" s="48"/>
      <c r="J1227" s="49"/>
      <c r="K1227" s="49"/>
      <c r="L1227" s="49"/>
      <c r="M1227" s="49"/>
      <c r="N1227" s="49"/>
      <c r="O1227" s="49"/>
      <c r="P1227" s="49"/>
      <c r="Q1227" s="49"/>
    </row>
    <row r="1228" spans="1:17" ht="15" customHeight="1" x14ac:dyDescent="0.3">
      <c r="A1228" s="42"/>
      <c r="B1228" s="43"/>
      <c r="C1228" s="44"/>
      <c r="D1228" s="47"/>
      <c r="E1228" s="46"/>
      <c r="F1228" s="47"/>
      <c r="G1228" s="46"/>
      <c r="H1228" s="47"/>
      <c r="I1228" s="48"/>
      <c r="J1228" s="49"/>
      <c r="K1228" s="49"/>
      <c r="L1228" s="49"/>
      <c r="M1228" s="49"/>
      <c r="N1228" s="49"/>
      <c r="O1228" s="49"/>
      <c r="P1228" s="49"/>
      <c r="Q1228" s="49"/>
    </row>
    <row r="1229" spans="1:17" ht="15" customHeight="1" x14ac:dyDescent="0.3">
      <c r="A1229" s="42"/>
      <c r="B1229" s="43"/>
      <c r="C1229" s="44"/>
      <c r="D1229" s="47"/>
      <c r="E1229" s="46"/>
      <c r="F1229" s="47"/>
      <c r="G1229" s="46"/>
      <c r="H1229" s="47"/>
      <c r="I1229" s="48"/>
      <c r="J1229" s="49"/>
      <c r="K1229" s="49"/>
      <c r="L1229" s="49"/>
      <c r="M1229" s="49"/>
      <c r="N1229" s="49"/>
      <c r="O1229" s="49"/>
      <c r="P1229" s="49"/>
      <c r="Q1229" s="49"/>
    </row>
    <row r="1230" spans="1:17" ht="15" customHeight="1" x14ac:dyDescent="0.3">
      <c r="A1230" s="42"/>
      <c r="B1230" s="43"/>
      <c r="C1230" s="44"/>
      <c r="D1230" s="47"/>
      <c r="E1230" s="46"/>
      <c r="F1230" s="47"/>
      <c r="G1230" s="46"/>
      <c r="H1230" s="47"/>
      <c r="I1230" s="48"/>
      <c r="J1230" s="49"/>
      <c r="K1230" s="49"/>
      <c r="L1230" s="49"/>
      <c r="M1230" s="49"/>
      <c r="N1230" s="49"/>
      <c r="O1230" s="49"/>
      <c r="P1230" s="49"/>
      <c r="Q1230" s="49"/>
    </row>
    <row r="1231" spans="1:17" ht="15" customHeight="1" x14ac:dyDescent="0.3">
      <c r="A1231" s="42"/>
      <c r="B1231" s="43"/>
      <c r="C1231" s="44"/>
      <c r="D1231" s="47"/>
      <c r="E1231" s="46"/>
      <c r="F1231" s="47"/>
      <c r="G1231" s="46"/>
      <c r="H1231" s="47"/>
      <c r="I1231" s="48"/>
      <c r="J1231" s="49"/>
      <c r="K1231" s="49"/>
      <c r="L1231" s="49"/>
      <c r="M1231" s="49"/>
      <c r="N1231" s="49"/>
      <c r="O1231" s="49"/>
      <c r="P1231" s="49"/>
      <c r="Q1231" s="49"/>
    </row>
    <row r="1232" spans="1:17" ht="15" customHeight="1" x14ac:dyDescent="0.3">
      <c r="A1232" s="42"/>
      <c r="B1232" s="86"/>
      <c r="C1232" s="119"/>
      <c r="D1232" s="86"/>
      <c r="E1232" s="86"/>
      <c r="F1232" s="86"/>
      <c r="G1232" s="86"/>
      <c r="H1232" s="86"/>
      <c r="I1232" s="55"/>
      <c r="J1232" s="56"/>
      <c r="K1232" s="56"/>
      <c r="L1232" s="56"/>
      <c r="M1232" s="87" t="s">
        <v>134</v>
      </c>
      <c r="N1232" s="56"/>
      <c r="O1232" s="56"/>
      <c r="P1232" s="56"/>
      <c r="Q1232" s="56"/>
    </row>
    <row r="1233" spans="1:17" ht="15" customHeight="1" x14ac:dyDescent="0.3">
      <c r="A1233" s="42"/>
      <c r="B1233" s="86"/>
      <c r="C1233" s="119"/>
      <c r="D1233" s="86"/>
      <c r="E1233" s="86"/>
      <c r="F1233" s="86"/>
      <c r="G1233" s="86"/>
      <c r="H1233" s="86"/>
      <c r="I1233" s="55"/>
      <c r="J1233" s="56"/>
      <c r="K1233" s="56"/>
      <c r="L1233" s="56"/>
      <c r="M1233" s="56"/>
      <c r="N1233" s="56"/>
      <c r="O1233" s="56"/>
      <c r="P1233" s="56"/>
      <c r="Q1233" s="56"/>
    </row>
    <row r="1234" spans="1:17" ht="15" customHeight="1" x14ac:dyDescent="0.3">
      <c r="A1234" s="42"/>
      <c r="B1234" s="59" t="s">
        <v>737</v>
      </c>
      <c r="C1234" s="59"/>
      <c r="D1234" s="59"/>
      <c r="E1234" s="59"/>
      <c r="F1234" s="59"/>
      <c r="G1234" s="59"/>
      <c r="H1234" s="59"/>
      <c r="I1234" s="61"/>
      <c r="J1234" s="62"/>
      <c r="K1234" s="62"/>
      <c r="L1234" s="62"/>
      <c r="M1234" s="62"/>
      <c r="N1234" s="62"/>
      <c r="O1234" s="62"/>
      <c r="P1234" s="62"/>
      <c r="Q1234" s="62"/>
    </row>
    <row r="1235" spans="1:17" ht="15" customHeight="1" x14ac:dyDescent="0.3">
      <c r="A1235" s="42"/>
      <c r="B1235" s="59" t="s">
        <v>738</v>
      </c>
      <c r="C1235" s="60"/>
      <c r="D1235" s="59"/>
      <c r="E1235" s="59"/>
      <c r="F1235" s="59"/>
      <c r="G1235" s="59"/>
      <c r="H1235" s="59"/>
      <c r="I1235" s="61"/>
      <c r="J1235" s="62"/>
      <c r="K1235" s="62"/>
      <c r="L1235" s="62"/>
      <c r="M1235" s="62"/>
      <c r="N1235" s="62"/>
      <c r="O1235" s="62"/>
      <c r="P1235" s="62"/>
      <c r="Q1235" s="62"/>
    </row>
    <row r="1236" spans="1:17" ht="15" customHeight="1" x14ac:dyDescent="0.3">
      <c r="A1236" s="42"/>
      <c r="B1236" s="63"/>
      <c r="C1236" s="63"/>
      <c r="D1236" s="65"/>
      <c r="E1236" s="49"/>
      <c r="F1236" s="66"/>
      <c r="G1236" s="48"/>
      <c r="H1236" s="66"/>
      <c r="I1236" s="48"/>
      <c r="J1236" s="49"/>
      <c r="K1236" s="49"/>
      <c r="L1236" s="49"/>
      <c r="M1236" s="49"/>
      <c r="N1236" s="49"/>
      <c r="O1236" s="49"/>
      <c r="P1236" s="49"/>
      <c r="Q1236" s="49"/>
    </row>
    <row r="1237" spans="1:17" ht="29.1" customHeight="1" x14ac:dyDescent="0.25">
      <c r="A1237" s="127" t="s">
        <v>739</v>
      </c>
      <c r="B1237" s="77"/>
      <c r="C1237" s="187" t="s">
        <v>41</v>
      </c>
      <c r="D1237" s="187"/>
      <c r="E1237" s="187"/>
      <c r="F1237" s="187"/>
      <c r="G1237" s="187"/>
      <c r="H1237" s="187"/>
      <c r="I1237" s="78" t="s">
        <v>42</v>
      </c>
      <c r="J1237" s="41" t="s">
        <v>43</v>
      </c>
      <c r="K1237" s="41">
        <v>1000</v>
      </c>
      <c r="L1237" s="41">
        <v>2000</v>
      </c>
      <c r="M1237" s="41">
        <v>3000</v>
      </c>
      <c r="N1237" s="41">
        <v>4000</v>
      </c>
      <c r="O1237" s="41">
        <v>5000</v>
      </c>
      <c r="P1237" s="41">
        <v>6000</v>
      </c>
      <c r="Q1237" s="41">
        <v>7000</v>
      </c>
    </row>
    <row r="1238" spans="1:17" ht="15" customHeight="1" x14ac:dyDescent="0.3">
      <c r="A1238" s="42"/>
      <c r="B1238" s="43" t="s">
        <v>740</v>
      </c>
      <c r="C1238" s="44" t="s">
        <v>45</v>
      </c>
      <c r="D1238" s="47">
        <v>1.6</v>
      </c>
      <c r="E1238" s="46" t="s">
        <v>47</v>
      </c>
      <c r="F1238" s="47">
        <v>0.6</v>
      </c>
      <c r="G1238" s="46" t="s">
        <v>48</v>
      </c>
      <c r="H1238" s="47">
        <v>0.47</v>
      </c>
      <c r="I1238" s="48">
        <v>6</v>
      </c>
      <c r="J1238" s="49">
        <f>ROUND((1509*$T$1),0)*1.05</f>
        <v>1584.45</v>
      </c>
      <c r="K1238" s="49">
        <f>ROUND((1677*$T$1),0)*1.05</f>
        <v>1760.8500000000001</v>
      </c>
      <c r="L1238" s="49">
        <f>ROUND((1715*$T$1),0)*1.05</f>
        <v>1800.75</v>
      </c>
      <c r="M1238" s="49">
        <f>ROUND((1757*$T$1),0)*1.05</f>
        <v>1844.8500000000001</v>
      </c>
      <c r="N1238" s="49">
        <f>ROUND((1801*$T$1),0)*1.05</f>
        <v>1891.0500000000002</v>
      </c>
      <c r="O1238" s="49">
        <f>ROUND((1826*$T$1),0)*1.05</f>
        <v>1917.3000000000002</v>
      </c>
      <c r="P1238" s="49">
        <f>ROUND((1904*$T$1),0)*1.05</f>
        <v>1999.2</v>
      </c>
      <c r="Q1238" s="49">
        <f>ROUND((2034*$T$1),0)*1.05</f>
        <v>2135.7000000000003</v>
      </c>
    </row>
    <row r="1239" spans="1:17" ht="15" customHeight="1" x14ac:dyDescent="0.3">
      <c r="A1239" s="42"/>
      <c r="B1239" s="43" t="s">
        <v>741</v>
      </c>
      <c r="C1239" s="44" t="s">
        <v>45</v>
      </c>
      <c r="D1239" s="47">
        <v>1.6</v>
      </c>
      <c r="E1239" s="46" t="s">
        <v>47</v>
      </c>
      <c r="F1239" s="47">
        <v>0.6</v>
      </c>
      <c r="G1239" s="46" t="s">
        <v>48</v>
      </c>
      <c r="H1239" s="47">
        <v>0.47</v>
      </c>
      <c r="I1239" s="48">
        <v>7</v>
      </c>
      <c r="J1239" s="49">
        <f>ROUND((2147*$T$1),0)*1.05</f>
        <v>2254.35</v>
      </c>
      <c r="K1239" s="49">
        <f>ROUND((2385*$T$1),0)*1.05</f>
        <v>2504.25</v>
      </c>
      <c r="L1239" s="49">
        <f>ROUND((2417*$T$1),0)*1.05</f>
        <v>2537.85</v>
      </c>
      <c r="M1239" s="49">
        <f>ROUND((2454*$T$1),0)*1.05</f>
        <v>2576.7000000000003</v>
      </c>
      <c r="N1239" s="49">
        <f>ROUND((2491*$T$1),0)*1.05</f>
        <v>2615.5500000000002</v>
      </c>
      <c r="O1239" s="49">
        <f>ROUND((2514*$T$1),0)*1.05</f>
        <v>2639.7000000000003</v>
      </c>
      <c r="P1239" s="49">
        <f>ROUND((2581*$T$1),0)*1.05</f>
        <v>2710.05</v>
      </c>
      <c r="Q1239" s="49">
        <f>ROUND((2691*$T$1),0)*1.05</f>
        <v>2825.55</v>
      </c>
    </row>
    <row r="1240" spans="1:17" ht="15" customHeight="1" x14ac:dyDescent="0.3">
      <c r="A1240" s="42"/>
      <c r="B1240" s="43" t="s">
        <v>740</v>
      </c>
      <c r="C1240" s="44" t="s">
        <v>45</v>
      </c>
      <c r="D1240" s="47">
        <v>1.4</v>
      </c>
      <c r="E1240" s="46" t="s">
        <v>47</v>
      </c>
      <c r="F1240" s="47">
        <v>0.6</v>
      </c>
      <c r="G1240" s="46" t="s">
        <v>48</v>
      </c>
      <c r="H1240" s="47">
        <v>0.47</v>
      </c>
      <c r="I1240" s="48">
        <v>6</v>
      </c>
      <c r="J1240" s="49">
        <f>ROUND((1432*$T$1),0)*1.05</f>
        <v>1503.6000000000001</v>
      </c>
      <c r="K1240" s="49">
        <f>ROUND((1590*$T$1),0)*1.05</f>
        <v>1669.5</v>
      </c>
      <c r="L1240" s="49">
        <f>ROUND((1624*$T$1),0)*1.05</f>
        <v>1705.2</v>
      </c>
      <c r="M1240" s="49">
        <f>ROUND((1662*$T$1),0)*1.05</f>
        <v>1745.1000000000001</v>
      </c>
      <c r="N1240" s="49">
        <f>ROUND((1700*$T$1),0)*1.05</f>
        <v>1785</v>
      </c>
      <c r="O1240" s="49">
        <f>ROUND((1722*$T$1),0)*1.05</f>
        <v>1808.1000000000001</v>
      </c>
      <c r="P1240" s="49">
        <f>ROUND((1791*$T$1),0)*1.05</f>
        <v>1880.5500000000002</v>
      </c>
      <c r="Q1240" s="49">
        <f>ROUND((1903*$T$1),0)*1.05</f>
        <v>1998.15</v>
      </c>
    </row>
    <row r="1241" spans="1:17" ht="15" customHeight="1" x14ac:dyDescent="0.3">
      <c r="A1241" s="42"/>
      <c r="B1241" s="43" t="s">
        <v>741</v>
      </c>
      <c r="C1241" s="44" t="s">
        <v>45</v>
      </c>
      <c r="D1241" s="47">
        <v>1.4</v>
      </c>
      <c r="E1241" s="46" t="s">
        <v>47</v>
      </c>
      <c r="F1241" s="47">
        <v>0.6</v>
      </c>
      <c r="G1241" s="46" t="s">
        <v>48</v>
      </c>
      <c r="H1241" s="47">
        <v>0.47</v>
      </c>
      <c r="I1241" s="48">
        <v>6</v>
      </c>
      <c r="J1241" s="49">
        <f>ROUND((2034*$T$1),0)*1.05</f>
        <v>2135.7000000000003</v>
      </c>
      <c r="K1241" s="49">
        <f>ROUND((2225*$T$1),0)*1.05</f>
        <v>2336.25</v>
      </c>
      <c r="L1241" s="49">
        <f>ROUND((2289*$T$1),0)*1.05</f>
        <v>2403.4500000000003</v>
      </c>
      <c r="M1241" s="49">
        <f>ROUND((2322*$T$1),0)*1.05</f>
        <v>2438.1</v>
      </c>
      <c r="N1241" s="49">
        <f>ROUND((2356*$T$1),0)*1.05</f>
        <v>2473.8000000000002</v>
      </c>
      <c r="O1241" s="49">
        <f>ROUND((2376*$T$1),0)*1.05</f>
        <v>2494.8000000000002</v>
      </c>
      <c r="P1241" s="49">
        <f>ROUND((2436*$T$1),0)*1.05</f>
        <v>2557.8000000000002</v>
      </c>
      <c r="Q1241" s="49">
        <f>ROUND((2537*$T$1),0)*1.05</f>
        <v>2663.85</v>
      </c>
    </row>
    <row r="1242" spans="1:17" ht="15" customHeight="1" x14ac:dyDescent="0.3">
      <c r="A1242" s="42"/>
      <c r="B1242" s="43"/>
      <c r="C1242" s="44"/>
      <c r="D1242" s="47"/>
      <c r="E1242" s="46"/>
      <c r="F1242" s="47"/>
      <c r="G1242" s="46"/>
      <c r="H1242" s="47"/>
      <c r="I1242" s="48"/>
      <c r="J1242" s="49"/>
      <c r="K1242" s="49"/>
      <c r="L1242" s="49"/>
      <c r="M1242" s="49"/>
      <c r="N1242" s="49"/>
      <c r="O1242" s="49"/>
      <c r="P1242" s="49"/>
      <c r="Q1242" s="49"/>
    </row>
    <row r="1243" spans="1:17" ht="15" customHeight="1" x14ac:dyDescent="0.3">
      <c r="A1243" s="42"/>
      <c r="B1243" s="43" t="s">
        <v>742</v>
      </c>
      <c r="C1243" s="44" t="s">
        <v>45</v>
      </c>
      <c r="D1243" s="47">
        <v>1.6</v>
      </c>
      <c r="E1243" s="46" t="s">
        <v>47</v>
      </c>
      <c r="F1243" s="47">
        <v>0.6</v>
      </c>
      <c r="G1243" s="46" t="s">
        <v>48</v>
      </c>
      <c r="H1243" s="47">
        <v>0.47</v>
      </c>
      <c r="I1243" s="48">
        <v>6</v>
      </c>
      <c r="J1243" s="49">
        <f>ROUND((1509*$T$1),0)*1.05</f>
        <v>1584.45</v>
      </c>
      <c r="K1243" s="49">
        <f>ROUND((1677*$T$1),0)*1.05</f>
        <v>1760.8500000000001</v>
      </c>
      <c r="L1243" s="49">
        <f>ROUND((1715*$T$1),0)*1.05</f>
        <v>1800.75</v>
      </c>
      <c r="M1243" s="49">
        <f>ROUND((1757*$T$1),0)*1.05</f>
        <v>1844.8500000000001</v>
      </c>
      <c r="N1243" s="49">
        <f>ROUND((1801*$T$1),0)*1.05</f>
        <v>1891.0500000000002</v>
      </c>
      <c r="O1243" s="49">
        <f>ROUND((1826*$T$1),0)*1.05</f>
        <v>1917.3000000000002</v>
      </c>
      <c r="P1243" s="49">
        <f>ROUND((1904*$T$1),0)*1.05</f>
        <v>1999.2</v>
      </c>
      <c r="Q1243" s="49">
        <f>ROUND((2034*$T$1),0)*1.05</f>
        <v>2135.7000000000003</v>
      </c>
    </row>
    <row r="1244" spans="1:17" ht="15" customHeight="1" x14ac:dyDescent="0.3">
      <c r="A1244" s="42"/>
      <c r="B1244" s="43" t="s">
        <v>743</v>
      </c>
      <c r="C1244" s="44" t="s">
        <v>45</v>
      </c>
      <c r="D1244" s="47">
        <v>1.6</v>
      </c>
      <c r="E1244" s="46" t="s">
        <v>47</v>
      </c>
      <c r="F1244" s="47">
        <v>0.6</v>
      </c>
      <c r="G1244" s="46" t="s">
        <v>48</v>
      </c>
      <c r="H1244" s="47">
        <v>0.47</v>
      </c>
      <c r="I1244" s="48">
        <v>7</v>
      </c>
      <c r="J1244" s="49">
        <f>ROUND((2147*$T$1),0)*1.05</f>
        <v>2254.35</v>
      </c>
      <c r="K1244" s="49">
        <f>ROUND((2385*$T$1),0)*1.05</f>
        <v>2504.25</v>
      </c>
      <c r="L1244" s="49">
        <f>ROUND((2417*$T$1),0)*1.05</f>
        <v>2537.85</v>
      </c>
      <c r="M1244" s="49">
        <f>ROUND((2454*$T$1),0)*1.05</f>
        <v>2576.7000000000003</v>
      </c>
      <c r="N1244" s="49">
        <f>ROUND((2491*$T$1),0)*1.05</f>
        <v>2615.5500000000002</v>
      </c>
      <c r="O1244" s="49">
        <f>ROUND((2514*$T$1),0)*1.05</f>
        <v>2639.7000000000003</v>
      </c>
      <c r="P1244" s="49">
        <f>ROUND((2581*$T$1),0)*1.05</f>
        <v>2710.05</v>
      </c>
      <c r="Q1244" s="49">
        <f>ROUND((2691*$T$1),0)*1.05</f>
        <v>2825.55</v>
      </c>
    </row>
    <row r="1245" spans="1:17" ht="15" customHeight="1" x14ac:dyDescent="0.3">
      <c r="A1245" s="42"/>
      <c r="B1245" s="43" t="s">
        <v>742</v>
      </c>
      <c r="C1245" s="44" t="s">
        <v>45</v>
      </c>
      <c r="D1245" s="47">
        <v>1.4</v>
      </c>
      <c r="E1245" s="46" t="s">
        <v>47</v>
      </c>
      <c r="F1245" s="47">
        <v>0.6</v>
      </c>
      <c r="G1245" s="46" t="s">
        <v>48</v>
      </c>
      <c r="H1245" s="47">
        <v>0.47</v>
      </c>
      <c r="I1245" s="48">
        <v>6</v>
      </c>
      <c r="J1245" s="49">
        <f>ROUND((1432*$T$1),0)*1.05</f>
        <v>1503.6000000000001</v>
      </c>
      <c r="K1245" s="49">
        <f>ROUND((1590*$T$1),0)*1.05</f>
        <v>1669.5</v>
      </c>
      <c r="L1245" s="49">
        <f>ROUND((1624*$T$1),0)*1.05</f>
        <v>1705.2</v>
      </c>
      <c r="M1245" s="49">
        <f>ROUND((1662*$T$1),0)*1.05</f>
        <v>1745.1000000000001</v>
      </c>
      <c r="N1245" s="49">
        <f>ROUND((1700*$T$1),0)*1.05</f>
        <v>1785</v>
      </c>
      <c r="O1245" s="49">
        <f>ROUND((1722*$T$1),0)*1.05</f>
        <v>1808.1000000000001</v>
      </c>
      <c r="P1245" s="49">
        <f>ROUND((1791*$T$1),0)*1.05</f>
        <v>1880.5500000000002</v>
      </c>
      <c r="Q1245" s="49">
        <f>ROUND((1903*$T$1),0)*1.05</f>
        <v>1998.15</v>
      </c>
    </row>
    <row r="1246" spans="1:17" ht="15" customHeight="1" x14ac:dyDescent="0.3">
      <c r="A1246" s="42"/>
      <c r="B1246" s="43" t="s">
        <v>743</v>
      </c>
      <c r="C1246" s="44" t="s">
        <v>45</v>
      </c>
      <c r="D1246" s="47">
        <v>1.4</v>
      </c>
      <c r="E1246" s="46" t="s">
        <v>47</v>
      </c>
      <c r="F1246" s="47">
        <v>0.6</v>
      </c>
      <c r="G1246" s="46" t="s">
        <v>48</v>
      </c>
      <c r="H1246" s="47">
        <v>0.47</v>
      </c>
      <c r="I1246" s="48">
        <v>6</v>
      </c>
      <c r="J1246" s="49">
        <f>ROUND((2034*$T$1),0)*1.05</f>
        <v>2135.7000000000003</v>
      </c>
      <c r="K1246" s="49">
        <f>ROUND((2225*$T$1),0)*1.05</f>
        <v>2336.25</v>
      </c>
      <c r="L1246" s="49">
        <f>ROUND((2289*$T$1),0)*1.05</f>
        <v>2403.4500000000003</v>
      </c>
      <c r="M1246" s="49">
        <f>ROUND((2322*$T$1),0)*1.05</f>
        <v>2438.1</v>
      </c>
      <c r="N1246" s="49">
        <f>ROUND((2356*$T$1),0)*1.05</f>
        <v>2473.8000000000002</v>
      </c>
      <c r="O1246" s="49">
        <f>ROUND((2376*$T$1),0)*1.05</f>
        <v>2494.8000000000002</v>
      </c>
      <c r="P1246" s="49">
        <f>ROUND((2436*$T$1),0)*1.05</f>
        <v>2557.8000000000002</v>
      </c>
      <c r="Q1246" s="49">
        <f>ROUND((2537*$T$1),0)*1.05</f>
        <v>2663.85</v>
      </c>
    </row>
    <row r="1247" spans="1:17" ht="15" customHeight="1" x14ac:dyDescent="0.3">
      <c r="A1247" s="42"/>
      <c r="B1247" s="43"/>
      <c r="C1247" s="44"/>
      <c r="D1247" s="47"/>
      <c r="E1247" s="46"/>
      <c r="F1247" s="47"/>
      <c r="G1247" s="46"/>
      <c r="H1247" s="47"/>
      <c r="I1247" s="48"/>
      <c r="J1247" s="49"/>
      <c r="K1247" s="49"/>
      <c r="L1247" s="49"/>
      <c r="M1247" s="87" t="s">
        <v>134</v>
      </c>
      <c r="N1247" s="49"/>
      <c r="O1247" s="49"/>
      <c r="P1247" s="49"/>
      <c r="Q1247" s="49"/>
    </row>
    <row r="1248" spans="1:17" ht="15" customHeight="1" x14ac:dyDescent="0.3">
      <c r="A1248" s="42"/>
      <c r="B1248" s="59"/>
      <c r="C1248" s="59"/>
      <c r="D1248" s="59"/>
      <c r="E1248" s="59"/>
      <c r="F1248" s="59"/>
      <c r="G1248" s="59"/>
      <c r="H1248" s="59"/>
      <c r="I1248" s="61"/>
      <c r="J1248" s="62"/>
      <c r="K1248" s="62"/>
      <c r="L1248" s="62"/>
      <c r="M1248" s="62"/>
      <c r="N1248" s="62"/>
      <c r="O1248" s="62"/>
      <c r="P1248" s="62"/>
      <c r="Q1248" s="62"/>
    </row>
    <row r="1249" spans="1:18" ht="15" customHeight="1" x14ac:dyDescent="0.3">
      <c r="A1249" s="42"/>
      <c r="B1249" s="63"/>
      <c r="C1249" s="63"/>
      <c r="D1249" s="65"/>
      <c r="E1249" s="49"/>
      <c r="F1249" s="66"/>
      <c r="G1249" s="48"/>
      <c r="H1249" s="66"/>
      <c r="I1249" s="48"/>
      <c r="J1249" s="49"/>
      <c r="K1249" s="49"/>
      <c r="L1249" s="49"/>
      <c r="M1249" s="49"/>
      <c r="N1249" s="49"/>
      <c r="O1249" s="49"/>
      <c r="P1249" s="49"/>
      <c r="Q1249" s="49"/>
    </row>
    <row r="1250" spans="1:18" ht="29.1" customHeight="1" x14ac:dyDescent="0.25">
      <c r="A1250" s="127" t="s">
        <v>744</v>
      </c>
      <c r="B1250" s="77"/>
      <c r="C1250" s="187" t="s">
        <v>41</v>
      </c>
      <c r="D1250" s="187"/>
      <c r="E1250" s="187"/>
      <c r="F1250" s="187"/>
      <c r="G1250" s="187"/>
      <c r="H1250" s="187"/>
      <c r="I1250" s="78" t="s">
        <v>42</v>
      </c>
      <c r="J1250" s="41" t="s">
        <v>43</v>
      </c>
      <c r="K1250" s="41">
        <v>1000</v>
      </c>
      <c r="L1250" s="41">
        <v>2000</v>
      </c>
      <c r="M1250" s="41">
        <v>3000</v>
      </c>
      <c r="N1250" s="41">
        <v>4000</v>
      </c>
      <c r="O1250" s="41">
        <v>5000</v>
      </c>
      <c r="P1250" s="41">
        <v>6000</v>
      </c>
      <c r="Q1250" s="41">
        <v>7000</v>
      </c>
    </row>
    <row r="1251" spans="1:18" ht="15" customHeight="1" x14ac:dyDescent="0.3">
      <c r="A1251" s="42"/>
      <c r="B1251" s="43" t="s">
        <v>362</v>
      </c>
      <c r="C1251" s="44" t="s">
        <v>45</v>
      </c>
      <c r="D1251" s="47">
        <v>0.8</v>
      </c>
      <c r="E1251" s="46" t="s">
        <v>47</v>
      </c>
      <c r="F1251" s="47">
        <v>0.8</v>
      </c>
      <c r="G1251" s="46" t="s">
        <v>48</v>
      </c>
      <c r="H1251" s="47">
        <v>0.73</v>
      </c>
      <c r="I1251" s="48">
        <v>2338</v>
      </c>
      <c r="J1251" s="49">
        <f>ROUND((2479*$T$1),0)*1.05</f>
        <v>2602.9500000000003</v>
      </c>
      <c r="K1251" s="49">
        <f>ROUND((2528*$T$1),0)*1.05</f>
        <v>2654.4</v>
      </c>
      <c r="L1251" s="49">
        <f>ROUND((2577*$T$1),0)*1.05</f>
        <v>2705.85</v>
      </c>
      <c r="M1251" s="49">
        <f>ROUND((2626*$T$1),0)*1.05</f>
        <v>2757.3</v>
      </c>
      <c r="N1251" s="49">
        <f>ROUND((2673*$T$1),0)*1.05</f>
        <v>2806.65</v>
      </c>
      <c r="O1251" s="49">
        <f>ROUND((2790*$T$1),0)*1.05</f>
        <v>2929.5</v>
      </c>
      <c r="P1251" s="49">
        <f>ROUND((2980*$T$1),0)*1.05</f>
        <v>3129</v>
      </c>
      <c r="Q1251" s="49">
        <f>ROUND((3180*$T$1),0)*1.05</f>
        <v>3339</v>
      </c>
      <c r="R1251" s="33"/>
    </row>
    <row r="1252" spans="1:18" ht="15" customHeight="1" x14ac:dyDescent="0.3">
      <c r="A1252" s="42"/>
      <c r="B1252" s="43"/>
      <c r="C1252" s="44"/>
      <c r="D1252" s="47"/>
      <c r="E1252" s="46"/>
      <c r="F1252" s="47"/>
      <c r="G1252" s="46"/>
      <c r="H1252" s="47"/>
      <c r="I1252" s="57"/>
      <c r="J1252" s="58"/>
      <c r="K1252" s="58"/>
      <c r="L1252" s="58"/>
      <c r="M1252" s="58"/>
      <c r="N1252" s="58"/>
      <c r="O1252" s="58"/>
      <c r="P1252" s="58"/>
      <c r="Q1252" s="58"/>
    </row>
    <row r="1253" spans="1:18" ht="15" customHeight="1" x14ac:dyDescent="0.3">
      <c r="A1253" s="42"/>
      <c r="B1253" s="43"/>
      <c r="C1253" s="44"/>
      <c r="D1253" s="47"/>
      <c r="E1253" s="46"/>
      <c r="F1253" s="47"/>
      <c r="G1253" s="46"/>
      <c r="H1253" s="47"/>
      <c r="I1253" s="57"/>
      <c r="J1253" s="58"/>
      <c r="K1253" s="58"/>
      <c r="L1253" s="58"/>
      <c r="M1253" s="58"/>
      <c r="N1253" s="58"/>
      <c r="O1253" s="58"/>
      <c r="P1253" s="58"/>
      <c r="Q1253" s="58"/>
    </row>
    <row r="1254" spans="1:18" ht="15" customHeight="1" x14ac:dyDescent="0.3">
      <c r="A1254" s="42"/>
      <c r="B1254" s="43"/>
      <c r="C1254" s="44"/>
      <c r="D1254" s="47"/>
      <c r="E1254" s="46"/>
      <c r="F1254" s="47"/>
      <c r="G1254" s="46"/>
      <c r="H1254" s="47"/>
      <c r="I1254" s="57"/>
      <c r="J1254" s="58"/>
      <c r="K1254" s="58"/>
      <c r="L1254" s="58"/>
      <c r="M1254" s="58"/>
      <c r="N1254" s="58"/>
      <c r="O1254" s="58"/>
      <c r="P1254" s="58"/>
      <c r="Q1254" s="58"/>
    </row>
    <row r="1255" spans="1:18" ht="15" customHeight="1" x14ac:dyDescent="0.3">
      <c r="A1255" s="42"/>
      <c r="B1255" s="43"/>
      <c r="C1255" s="44"/>
      <c r="D1255" s="47"/>
      <c r="E1255" s="46"/>
      <c r="F1255" s="47"/>
      <c r="G1255" s="46"/>
      <c r="H1255" s="47"/>
      <c r="I1255" s="57"/>
      <c r="J1255" s="58"/>
      <c r="K1255" s="58"/>
      <c r="L1255" s="58"/>
      <c r="M1255" s="58"/>
      <c r="N1255" s="58"/>
      <c r="O1255" s="58"/>
      <c r="P1255" s="58"/>
      <c r="Q1255" s="58"/>
    </row>
    <row r="1256" spans="1:18" ht="15" customHeight="1" x14ac:dyDescent="0.3">
      <c r="A1256" s="42"/>
      <c r="B1256" s="43"/>
      <c r="C1256" s="44"/>
      <c r="D1256" s="47"/>
      <c r="E1256" s="46"/>
      <c r="F1256" s="47"/>
      <c r="G1256" s="46"/>
      <c r="H1256" s="47"/>
      <c r="I1256" s="57"/>
      <c r="J1256" s="58"/>
      <c r="K1256" s="58"/>
      <c r="L1256" s="58"/>
      <c r="M1256" s="58"/>
      <c r="N1256" s="58"/>
      <c r="O1256" s="58"/>
      <c r="P1256" s="58"/>
      <c r="Q1256" s="58"/>
    </row>
    <row r="1257" spans="1:18" ht="15" customHeight="1" x14ac:dyDescent="0.3">
      <c r="A1257" s="42"/>
      <c r="B1257" s="97"/>
      <c r="C1257" s="98"/>
      <c r="D1257" s="99"/>
      <c r="E1257" s="99"/>
      <c r="F1257" s="99"/>
      <c r="G1257" s="99"/>
      <c r="H1257" s="99"/>
      <c r="I1257" s="100"/>
      <c r="J1257" s="101"/>
      <c r="K1257" s="101"/>
      <c r="L1257" s="101"/>
      <c r="M1257" s="87" t="s">
        <v>134</v>
      </c>
      <c r="N1257" s="101"/>
      <c r="O1257" s="101"/>
      <c r="P1257" s="101"/>
      <c r="Q1257" s="101"/>
    </row>
    <row r="1258" spans="1:18" ht="15" customHeight="1" x14ac:dyDescent="0.3">
      <c r="A1258" s="42"/>
      <c r="B1258" s="59" t="s">
        <v>745</v>
      </c>
      <c r="C1258" s="59"/>
      <c r="D1258" s="59"/>
      <c r="E1258" s="59"/>
      <c r="F1258" s="59"/>
      <c r="G1258" s="59"/>
      <c r="H1258" s="59"/>
      <c r="I1258" s="61"/>
      <c r="J1258" s="62"/>
      <c r="K1258" s="62"/>
      <c r="L1258" s="62"/>
      <c r="M1258" s="62"/>
      <c r="N1258" s="62"/>
      <c r="O1258" s="62"/>
      <c r="P1258" s="62"/>
      <c r="Q1258" s="62"/>
    </row>
    <row r="1259" spans="1:18" ht="19.5" x14ac:dyDescent="0.3">
      <c r="A1259" s="67"/>
      <c r="B1259" s="68"/>
      <c r="C1259" s="158"/>
      <c r="D1259" s="72"/>
      <c r="E1259" s="73"/>
      <c r="F1259" s="72"/>
      <c r="G1259" s="73"/>
      <c r="H1259" s="72"/>
      <c r="I1259" s="74"/>
      <c r="J1259" s="75"/>
      <c r="K1259" s="75"/>
      <c r="L1259" s="75"/>
      <c r="M1259" s="75"/>
      <c r="N1259" s="75"/>
      <c r="O1259" s="75"/>
      <c r="P1259" s="75"/>
      <c r="Q1259" s="75"/>
    </row>
    <row r="1260" spans="1:18" ht="29.1" customHeight="1" x14ac:dyDescent="0.25">
      <c r="A1260" s="127" t="s">
        <v>746</v>
      </c>
      <c r="B1260" s="77"/>
      <c r="C1260" s="187" t="s">
        <v>41</v>
      </c>
      <c r="D1260" s="187"/>
      <c r="E1260" s="187"/>
      <c r="F1260" s="187"/>
      <c r="G1260" s="187"/>
      <c r="H1260" s="187"/>
      <c r="I1260" s="78" t="s">
        <v>42</v>
      </c>
      <c r="J1260" s="41" t="s">
        <v>43</v>
      </c>
      <c r="K1260" s="41">
        <v>1000</v>
      </c>
      <c r="L1260" s="41">
        <v>2000</v>
      </c>
      <c r="M1260" s="41">
        <v>3000</v>
      </c>
      <c r="N1260" s="41">
        <v>4000</v>
      </c>
      <c r="O1260" s="41">
        <v>5000</v>
      </c>
      <c r="P1260" s="41">
        <v>6000</v>
      </c>
      <c r="Q1260" s="41">
        <v>7000</v>
      </c>
    </row>
    <row r="1261" spans="1:18" ht="15" customHeight="1" x14ac:dyDescent="0.3">
      <c r="A1261" s="42"/>
      <c r="B1261" s="43" t="s">
        <v>529</v>
      </c>
      <c r="C1261" s="44" t="s">
        <v>45</v>
      </c>
      <c r="D1261" s="47" t="s">
        <v>154</v>
      </c>
      <c r="E1261" s="46" t="s">
        <v>47</v>
      </c>
      <c r="F1261" s="47">
        <v>0.92</v>
      </c>
      <c r="G1261" s="46" t="s">
        <v>48</v>
      </c>
      <c r="H1261" s="47">
        <v>0.8</v>
      </c>
      <c r="I1261" s="48">
        <v>8</v>
      </c>
      <c r="J1261" s="49">
        <f>ROUND((2249*$T$1),0)*1.05</f>
        <v>2361.4500000000003</v>
      </c>
      <c r="K1261" s="49">
        <f>ROUND((2499*$T$1),0)*1.05</f>
        <v>2623.9500000000003</v>
      </c>
      <c r="L1261" s="49">
        <f>ROUND((2550*$T$1),0)*1.05</f>
        <v>2677.5</v>
      </c>
      <c r="M1261" s="49">
        <f>ROUND((2607*$T$1),0)*1.05</f>
        <v>2737.35</v>
      </c>
      <c r="N1261" s="49">
        <f>ROUND((2666*$T$1),0)*1.05</f>
        <v>2799.3</v>
      </c>
      <c r="O1261" s="49">
        <f>ROUND((2700*$T$1),0)*1.05</f>
        <v>2835</v>
      </c>
      <c r="P1261" s="49">
        <f>ROUND((2805*$T$1),0)*1.05</f>
        <v>2945.25</v>
      </c>
      <c r="Q1261" s="49">
        <f>ROUND((2980*$T$1),0)*1.05</f>
        <v>3129</v>
      </c>
    </row>
    <row r="1262" spans="1:18" ht="15" customHeight="1" x14ac:dyDescent="0.3">
      <c r="A1262" s="42"/>
      <c r="B1262" s="43"/>
      <c r="C1262" s="44"/>
      <c r="D1262" s="47"/>
      <c r="E1262" s="46"/>
      <c r="F1262" s="47"/>
      <c r="G1262" s="46"/>
      <c r="H1262" s="47"/>
      <c r="I1262" s="48"/>
      <c r="J1262" s="49"/>
      <c r="K1262" s="49"/>
      <c r="L1262" s="49"/>
      <c r="M1262" s="49"/>
      <c r="N1262" s="49"/>
      <c r="O1262" s="49"/>
      <c r="P1262" s="49"/>
      <c r="Q1262" s="49"/>
    </row>
    <row r="1263" spans="1:18" ht="15" customHeight="1" x14ac:dyDescent="0.3">
      <c r="A1263" s="42"/>
      <c r="B1263" s="43"/>
      <c r="C1263" s="44"/>
      <c r="D1263" s="47"/>
      <c r="E1263" s="46"/>
      <c r="F1263" s="47"/>
      <c r="G1263" s="46"/>
      <c r="H1263" s="47"/>
      <c r="I1263" s="48"/>
      <c r="J1263" s="49"/>
      <c r="K1263" s="49"/>
      <c r="L1263" s="49"/>
      <c r="M1263" s="49"/>
      <c r="N1263" s="49"/>
      <c r="O1263" s="49"/>
      <c r="P1263" s="49"/>
      <c r="Q1263" s="49"/>
    </row>
    <row r="1264" spans="1:18" ht="15" customHeight="1" x14ac:dyDescent="0.3">
      <c r="A1264" s="42"/>
      <c r="B1264" s="43"/>
      <c r="C1264" s="44"/>
      <c r="D1264" s="47"/>
      <c r="E1264" s="46"/>
      <c r="F1264" s="47"/>
      <c r="G1264" s="46"/>
      <c r="H1264" s="47"/>
      <c r="I1264" s="48"/>
      <c r="J1264" s="49"/>
      <c r="K1264" s="49"/>
      <c r="L1264" s="49"/>
      <c r="M1264" s="49"/>
      <c r="N1264" s="49"/>
      <c r="O1264" s="49"/>
      <c r="P1264" s="49"/>
      <c r="Q1264" s="49"/>
    </row>
    <row r="1265" spans="1:17" ht="15" customHeight="1" x14ac:dyDescent="0.3">
      <c r="A1265" s="42"/>
      <c r="B1265" s="43"/>
      <c r="C1265" s="44"/>
      <c r="D1265" s="47"/>
      <c r="E1265" s="46"/>
      <c r="F1265" s="47"/>
      <c r="G1265" s="46"/>
      <c r="H1265" s="47"/>
      <c r="I1265" s="48"/>
      <c r="J1265" s="49"/>
      <c r="K1265" s="49"/>
      <c r="L1265" s="49"/>
      <c r="M1265" s="49"/>
      <c r="N1265" s="49"/>
      <c r="O1265" s="49"/>
      <c r="P1265" s="49"/>
      <c r="Q1265" s="49"/>
    </row>
    <row r="1266" spans="1:17" ht="15" customHeight="1" x14ac:dyDescent="0.3">
      <c r="A1266" s="42"/>
      <c r="B1266" s="44"/>
      <c r="C1266" s="44"/>
      <c r="D1266" s="47"/>
      <c r="E1266" s="46"/>
      <c r="F1266" s="47"/>
      <c r="G1266" s="46"/>
      <c r="H1266" s="47"/>
      <c r="I1266" s="57"/>
      <c r="J1266" s="58"/>
      <c r="K1266" s="58"/>
      <c r="L1266" s="58"/>
      <c r="M1266" s="58"/>
      <c r="N1266" s="58"/>
      <c r="O1266" s="58"/>
      <c r="P1266" s="58"/>
      <c r="Q1266" s="58"/>
    </row>
    <row r="1267" spans="1:17" ht="15" customHeight="1" x14ac:dyDescent="0.3">
      <c r="A1267" s="42"/>
      <c r="B1267" s="44"/>
      <c r="C1267" s="44"/>
      <c r="D1267" s="47"/>
      <c r="E1267" s="46"/>
      <c r="F1267" s="47"/>
      <c r="G1267" s="46"/>
      <c r="H1267" s="47"/>
      <c r="I1267" s="57"/>
      <c r="J1267" s="58"/>
      <c r="K1267" s="58"/>
      <c r="L1267" s="58"/>
      <c r="M1267" s="58"/>
      <c r="N1267" s="58"/>
      <c r="O1267" s="58"/>
      <c r="P1267" s="58"/>
      <c r="Q1267" s="58"/>
    </row>
    <row r="1268" spans="1:17" ht="15" customHeight="1" x14ac:dyDescent="0.3">
      <c r="A1268" s="42"/>
      <c r="B1268" s="86"/>
      <c r="C1268" s="119"/>
      <c r="D1268" s="86"/>
      <c r="E1268" s="86"/>
      <c r="F1268" s="86"/>
      <c r="G1268" s="86"/>
      <c r="H1268" s="86"/>
      <c r="I1268" s="55"/>
      <c r="J1268" s="56"/>
      <c r="K1268" s="56"/>
      <c r="L1268" s="56"/>
      <c r="M1268" s="56"/>
      <c r="N1268" s="56"/>
      <c r="O1268" s="56"/>
      <c r="P1268" s="56"/>
      <c r="Q1268" s="56"/>
    </row>
    <row r="1269" spans="1:17" ht="15" customHeight="1" x14ac:dyDescent="0.3">
      <c r="A1269" s="42"/>
      <c r="B1269" s="86"/>
      <c r="C1269" s="119"/>
      <c r="D1269" s="86"/>
      <c r="E1269" s="86"/>
      <c r="F1269" s="86"/>
      <c r="G1269" s="86"/>
      <c r="H1269" s="86"/>
      <c r="I1269" s="55"/>
      <c r="J1269" s="56"/>
      <c r="K1269" s="56"/>
      <c r="L1269" s="56"/>
      <c r="M1269" s="56"/>
      <c r="N1269" s="56"/>
      <c r="O1269" s="56"/>
      <c r="P1269" s="56"/>
      <c r="Q1269" s="56"/>
    </row>
    <row r="1270" spans="1:17" ht="15" customHeight="1" x14ac:dyDescent="0.3">
      <c r="A1270" s="42"/>
      <c r="B1270" s="86"/>
      <c r="C1270" s="119"/>
      <c r="D1270" s="86"/>
      <c r="E1270" s="86"/>
      <c r="F1270" s="86"/>
      <c r="G1270" s="86"/>
      <c r="H1270" s="86"/>
      <c r="I1270" s="55"/>
      <c r="J1270" s="56"/>
      <c r="K1270" s="56"/>
      <c r="L1270" s="56"/>
      <c r="M1270" s="87" t="s">
        <v>134</v>
      </c>
      <c r="N1270" s="56"/>
      <c r="O1270" s="56"/>
      <c r="P1270" s="56"/>
      <c r="Q1270" s="56"/>
    </row>
    <row r="1271" spans="1:17" ht="15" customHeight="1" x14ac:dyDescent="0.3">
      <c r="A1271" s="42"/>
      <c r="B1271" s="59"/>
      <c r="C1271" s="60"/>
      <c r="D1271" s="59"/>
      <c r="E1271" s="59"/>
      <c r="F1271" s="59"/>
      <c r="G1271" s="59"/>
      <c r="H1271" s="59"/>
      <c r="I1271" s="61"/>
      <c r="J1271" s="62"/>
      <c r="K1271" s="62"/>
      <c r="L1271" s="62"/>
      <c r="M1271" s="62"/>
      <c r="N1271" s="62"/>
      <c r="O1271" s="62"/>
      <c r="P1271" s="62"/>
      <c r="Q1271" s="62"/>
    </row>
    <row r="1272" spans="1:17" ht="15" customHeight="1" x14ac:dyDescent="0.3">
      <c r="A1272" s="42"/>
      <c r="B1272" s="63"/>
      <c r="C1272" s="63"/>
      <c r="D1272" s="65"/>
      <c r="E1272" s="49"/>
      <c r="F1272" s="66"/>
      <c r="G1272" s="48"/>
      <c r="H1272" s="66"/>
      <c r="I1272" s="48"/>
      <c r="J1272" s="49"/>
      <c r="K1272" s="49"/>
      <c r="L1272" s="49"/>
      <c r="M1272" s="49"/>
      <c r="N1272" s="49"/>
      <c r="O1272" s="49"/>
      <c r="P1272" s="49"/>
      <c r="Q1272" s="49"/>
    </row>
    <row r="1273" spans="1:17" ht="29.1" customHeight="1" x14ac:dyDescent="0.25">
      <c r="A1273" s="127" t="s">
        <v>747</v>
      </c>
      <c r="B1273" s="77"/>
      <c r="C1273" s="187" t="s">
        <v>41</v>
      </c>
      <c r="D1273" s="187"/>
      <c r="E1273" s="187"/>
      <c r="F1273" s="187"/>
      <c r="G1273" s="187"/>
      <c r="H1273" s="187"/>
      <c r="I1273" s="78" t="s">
        <v>42</v>
      </c>
      <c r="J1273" s="41" t="s">
        <v>43</v>
      </c>
      <c r="K1273" s="41">
        <v>1000</v>
      </c>
      <c r="L1273" s="41">
        <v>2000</v>
      </c>
      <c r="M1273" s="41">
        <v>3000</v>
      </c>
      <c r="N1273" s="41">
        <v>4000</v>
      </c>
      <c r="O1273" s="41">
        <v>5000</v>
      </c>
      <c r="P1273" s="41">
        <v>6000</v>
      </c>
      <c r="Q1273" s="41">
        <v>7000</v>
      </c>
    </row>
    <row r="1274" spans="1:17" ht="15" customHeight="1" x14ac:dyDescent="0.3">
      <c r="A1274" s="42"/>
      <c r="B1274" s="44" t="s">
        <v>748</v>
      </c>
      <c r="C1274" s="44" t="s">
        <v>45</v>
      </c>
      <c r="D1274" s="47">
        <v>0.7</v>
      </c>
      <c r="E1274" s="46" t="s">
        <v>47</v>
      </c>
      <c r="F1274" s="47">
        <v>0.45</v>
      </c>
      <c r="G1274" s="46" t="s">
        <v>48</v>
      </c>
      <c r="H1274" s="47">
        <v>0.8</v>
      </c>
      <c r="I1274" s="48">
        <v>4</v>
      </c>
      <c r="J1274" s="49">
        <f>ROUND((2304*$T$1),0)*1.05</f>
        <v>2419.2000000000003</v>
      </c>
      <c r="K1274" s="49">
        <f>ROUND((2563*$T$1),0)*1.05</f>
        <v>2691.15</v>
      </c>
      <c r="L1274" s="49">
        <f>ROUND((2584*$T$1),0)*1.05</f>
        <v>2713.2000000000003</v>
      </c>
      <c r="M1274" s="49">
        <f>ROUND((2608*$T$1),0)*1.05</f>
        <v>2738.4</v>
      </c>
      <c r="N1274" s="49">
        <f>ROUND((2631*$T$1),0)*1.05</f>
        <v>2762.55</v>
      </c>
      <c r="O1274" s="49">
        <f>ROUND((2645*$T$1),0)*1.05</f>
        <v>2777.25</v>
      </c>
      <c r="P1274" s="49">
        <f>ROUND((2688*$T$1),0)*1.05</f>
        <v>2822.4</v>
      </c>
      <c r="Q1274" s="49">
        <f>ROUND((2759*$T$1),0)*1.05</f>
        <v>2896.9500000000003</v>
      </c>
    </row>
    <row r="1275" spans="1:17" ht="15" customHeight="1" x14ac:dyDescent="0.3">
      <c r="A1275" s="42"/>
      <c r="B1275" s="44" t="s">
        <v>749</v>
      </c>
      <c r="C1275" s="44" t="s">
        <v>45</v>
      </c>
      <c r="D1275" s="47">
        <v>0.7</v>
      </c>
      <c r="E1275" s="46" t="s">
        <v>47</v>
      </c>
      <c r="F1275" s="47">
        <v>0.45</v>
      </c>
      <c r="G1275" s="46" t="s">
        <v>48</v>
      </c>
      <c r="H1275" s="47">
        <v>0.8</v>
      </c>
      <c r="I1275" s="48">
        <v>4</v>
      </c>
      <c r="J1275" s="49">
        <f>ROUND((2024*$T$1),0)*1.05</f>
        <v>2125.2000000000003</v>
      </c>
      <c r="K1275" s="49">
        <f>ROUND((2249*$T$1),0)*1.05</f>
        <v>2361.4500000000003</v>
      </c>
      <c r="L1275" s="49">
        <f>ROUND((2270*$T$1),0)*1.05</f>
        <v>2383.5</v>
      </c>
      <c r="M1275" s="49">
        <f>ROUND((2294*$T$1),0)*1.05</f>
        <v>2408.7000000000003</v>
      </c>
      <c r="N1275" s="49">
        <f>ROUND((2314*$T$1),0)*1.05</f>
        <v>2429.7000000000003</v>
      </c>
      <c r="O1275" s="49">
        <f>ROUND((2331*$T$1),0)*1.05</f>
        <v>2447.5500000000002</v>
      </c>
      <c r="P1275" s="49">
        <f>ROUND((2374*$T$1),0)*1.05</f>
        <v>2492.7000000000003</v>
      </c>
      <c r="Q1275" s="49">
        <f>ROUND((2445*$T$1),0)*1.05</f>
        <v>2567.25</v>
      </c>
    </row>
    <row r="1276" spans="1:17" ht="15" customHeight="1" x14ac:dyDescent="0.3">
      <c r="A1276" s="42"/>
      <c r="B1276" s="44"/>
      <c r="C1276" s="44"/>
      <c r="D1276" s="47"/>
      <c r="E1276" s="46"/>
      <c r="F1276" s="47"/>
      <c r="G1276" s="46"/>
      <c r="H1276" s="47"/>
      <c r="I1276" s="48"/>
      <c r="J1276" s="49"/>
      <c r="K1276" s="49"/>
      <c r="L1276" s="49"/>
      <c r="M1276" s="49"/>
      <c r="N1276" s="49"/>
      <c r="O1276" s="49"/>
      <c r="P1276" s="49"/>
      <c r="Q1276" s="49"/>
    </row>
    <row r="1277" spans="1:17" ht="15" customHeight="1" x14ac:dyDescent="0.3">
      <c r="A1277" s="42"/>
      <c r="B1277" s="44"/>
      <c r="C1277" s="44"/>
      <c r="D1277" s="47"/>
      <c r="E1277" s="46"/>
      <c r="F1277" s="47"/>
      <c r="G1277" s="46"/>
      <c r="H1277" s="47"/>
      <c r="I1277" s="48"/>
      <c r="J1277" s="49"/>
      <c r="K1277" s="49"/>
      <c r="L1277" s="49"/>
      <c r="M1277" s="49"/>
      <c r="N1277" s="49"/>
      <c r="O1277" s="49"/>
      <c r="P1277" s="49"/>
      <c r="Q1277" s="49"/>
    </row>
    <row r="1278" spans="1:17" ht="15" customHeight="1" x14ac:dyDescent="0.3">
      <c r="A1278" s="42"/>
      <c r="B1278" s="44"/>
      <c r="C1278" s="44"/>
      <c r="D1278" s="47"/>
      <c r="E1278" s="46"/>
      <c r="F1278" s="47"/>
      <c r="G1278" s="46"/>
      <c r="H1278" s="47"/>
      <c r="I1278" s="48"/>
      <c r="J1278" s="49"/>
      <c r="K1278" s="49"/>
      <c r="L1278" s="49"/>
      <c r="M1278" s="49"/>
      <c r="N1278" s="49"/>
      <c r="O1278" s="49"/>
      <c r="P1278" s="49"/>
      <c r="Q1278" s="49"/>
    </row>
    <row r="1279" spans="1:17" ht="15" customHeight="1" x14ac:dyDescent="0.3">
      <c r="A1279" s="42"/>
      <c r="B1279" s="44"/>
      <c r="C1279" s="44"/>
      <c r="D1279" s="47"/>
      <c r="E1279" s="46"/>
      <c r="F1279" s="47"/>
      <c r="G1279" s="46"/>
      <c r="H1279" s="47"/>
      <c r="I1279" s="57"/>
      <c r="J1279" s="58"/>
      <c r="K1279" s="58"/>
      <c r="L1279" s="58"/>
      <c r="M1279" s="87" t="s">
        <v>134</v>
      </c>
      <c r="N1279" s="58"/>
      <c r="O1279" s="58"/>
      <c r="P1279" s="58"/>
      <c r="Q1279" s="58"/>
    </row>
    <row r="1280" spans="1:17" ht="15" customHeight="1" x14ac:dyDescent="0.3">
      <c r="A1280" s="42"/>
      <c r="B1280" s="59" t="s">
        <v>750</v>
      </c>
      <c r="C1280" s="59"/>
      <c r="D1280" s="59"/>
      <c r="E1280" s="59"/>
      <c r="F1280" s="59"/>
      <c r="G1280" s="59"/>
      <c r="H1280" s="59"/>
      <c r="I1280" s="61"/>
      <c r="J1280" s="62"/>
      <c r="K1280" s="62"/>
      <c r="L1280" s="62"/>
      <c r="M1280" s="62"/>
      <c r="N1280" s="62"/>
      <c r="O1280" s="62"/>
      <c r="P1280" s="62"/>
      <c r="Q1280" s="62"/>
    </row>
    <row r="1281" spans="1:17" ht="15" customHeight="1" x14ac:dyDescent="0.3">
      <c r="A1281" s="113"/>
      <c r="B1281" s="114"/>
      <c r="C1281" s="138"/>
      <c r="D1281" s="116"/>
      <c r="E1281" s="75"/>
      <c r="F1281" s="117"/>
      <c r="G1281" s="74"/>
      <c r="H1281" s="117"/>
      <c r="I1281" s="74"/>
      <c r="J1281" s="75"/>
      <c r="K1281" s="75"/>
      <c r="L1281" s="75"/>
      <c r="M1281" s="75"/>
      <c r="N1281" s="75"/>
      <c r="O1281" s="75"/>
      <c r="P1281" s="75"/>
      <c r="Q1281" s="75"/>
    </row>
    <row r="1282" spans="1:17" ht="29.1" customHeight="1" x14ac:dyDescent="0.25">
      <c r="A1282" s="127" t="s">
        <v>751</v>
      </c>
      <c r="B1282" s="77"/>
      <c r="C1282" s="187" t="s">
        <v>41</v>
      </c>
      <c r="D1282" s="187"/>
      <c r="E1282" s="187"/>
      <c r="F1282" s="187"/>
      <c r="G1282" s="187"/>
      <c r="H1282" s="187"/>
      <c r="I1282" s="78" t="s">
        <v>42</v>
      </c>
      <c r="J1282" s="41" t="s">
        <v>43</v>
      </c>
      <c r="K1282" s="41">
        <v>1000</v>
      </c>
      <c r="L1282" s="41">
        <v>2000</v>
      </c>
      <c r="M1282" s="41">
        <v>3000</v>
      </c>
      <c r="N1282" s="41">
        <v>4000</v>
      </c>
      <c r="O1282" s="41">
        <v>5000</v>
      </c>
      <c r="P1282" s="41">
        <v>6000</v>
      </c>
      <c r="Q1282" s="41">
        <v>7000</v>
      </c>
    </row>
    <row r="1283" spans="1:17" ht="15" customHeight="1" x14ac:dyDescent="0.3">
      <c r="A1283" s="42"/>
      <c r="B1283" s="43" t="s">
        <v>529</v>
      </c>
      <c r="C1283" s="44" t="s">
        <v>45</v>
      </c>
      <c r="D1283" s="47">
        <v>0.8</v>
      </c>
      <c r="E1283" s="46" t="s">
        <v>47</v>
      </c>
      <c r="F1283" s="47">
        <v>0.85</v>
      </c>
      <c r="G1283" s="46" t="s">
        <v>48</v>
      </c>
      <c r="H1283" s="47">
        <v>0.84</v>
      </c>
      <c r="I1283" s="48">
        <v>5</v>
      </c>
      <c r="J1283" s="49">
        <f>ROUND((1765*$T$1),0)*1.05</f>
        <v>1853.25</v>
      </c>
      <c r="K1283" s="49">
        <f>ROUND((1962*$T$1),0)*1.05</f>
        <v>2060.1</v>
      </c>
      <c r="L1283" s="49">
        <f>ROUND((1993*$T$1),0)*1.05</f>
        <v>2092.65</v>
      </c>
      <c r="M1283" s="49">
        <f>ROUND((2029*$T$1),0)*1.05</f>
        <v>2130.4500000000003</v>
      </c>
      <c r="N1283" s="49">
        <f>ROUND((2064*$T$1),0)*1.05</f>
        <v>2167.2000000000003</v>
      </c>
      <c r="O1283" s="49">
        <f>ROUND((2086*$T$1),0)*1.05</f>
        <v>2190.3000000000002</v>
      </c>
      <c r="P1283" s="49">
        <f>ROUND((2151*$T$1),0)*1.05</f>
        <v>2258.5500000000002</v>
      </c>
      <c r="Q1283" s="49">
        <f>ROUND((2256*$T$1),0)*1.05</f>
        <v>2368.8000000000002</v>
      </c>
    </row>
    <row r="1284" spans="1:17" ht="15" customHeight="1" x14ac:dyDescent="0.3">
      <c r="A1284" s="42"/>
      <c r="B1284" s="43"/>
      <c r="C1284" s="44"/>
      <c r="D1284" s="47"/>
      <c r="E1284" s="46"/>
      <c r="F1284" s="47"/>
      <c r="G1284" s="46"/>
      <c r="H1284" s="47"/>
      <c r="I1284" s="57"/>
      <c r="J1284" s="58"/>
      <c r="K1284" s="58"/>
      <c r="L1284" s="58"/>
      <c r="M1284" s="58"/>
      <c r="N1284" s="58"/>
      <c r="O1284" s="58"/>
      <c r="P1284" s="58"/>
      <c r="Q1284" s="58"/>
    </row>
    <row r="1285" spans="1:17" ht="15" customHeight="1" x14ac:dyDescent="0.3">
      <c r="A1285" s="42"/>
      <c r="B1285" s="43"/>
      <c r="C1285" s="44"/>
      <c r="D1285" s="47"/>
      <c r="E1285" s="46"/>
      <c r="F1285" s="47"/>
      <c r="G1285" s="46"/>
      <c r="H1285" s="47"/>
      <c r="I1285" s="57"/>
      <c r="J1285" s="58"/>
      <c r="K1285" s="58"/>
      <c r="L1285" s="58"/>
      <c r="M1285" s="58"/>
      <c r="N1285" s="58"/>
      <c r="O1285" s="58"/>
      <c r="P1285" s="58"/>
      <c r="Q1285" s="58"/>
    </row>
    <row r="1286" spans="1:17" ht="15" customHeight="1" x14ac:dyDescent="0.3">
      <c r="A1286" s="42"/>
      <c r="B1286" s="43"/>
      <c r="C1286" s="44"/>
      <c r="D1286" s="47"/>
      <c r="E1286" s="46"/>
      <c r="F1286" s="47"/>
      <c r="G1286" s="46"/>
      <c r="H1286" s="47"/>
      <c r="I1286" s="57"/>
      <c r="J1286" s="58"/>
      <c r="K1286" s="58"/>
      <c r="L1286" s="58"/>
      <c r="M1286" s="58"/>
      <c r="N1286" s="58"/>
      <c r="O1286" s="58"/>
      <c r="P1286" s="58"/>
      <c r="Q1286" s="58"/>
    </row>
    <row r="1287" spans="1:17" ht="15" customHeight="1" x14ac:dyDescent="0.3">
      <c r="A1287" s="42"/>
      <c r="B1287" s="43"/>
      <c r="C1287" s="44"/>
      <c r="D1287" s="47"/>
      <c r="E1287" s="46"/>
      <c r="F1287" s="47"/>
      <c r="G1287" s="46"/>
      <c r="H1287" s="47"/>
      <c r="I1287" s="57"/>
      <c r="J1287" s="58"/>
      <c r="K1287" s="58"/>
      <c r="L1287" s="58"/>
      <c r="M1287" s="87" t="s">
        <v>134</v>
      </c>
      <c r="N1287" s="58"/>
      <c r="O1287" s="58"/>
      <c r="P1287" s="58"/>
      <c r="Q1287" s="58"/>
    </row>
    <row r="1288" spans="1:17" ht="15" customHeight="1" x14ac:dyDescent="0.3">
      <c r="A1288" s="42"/>
      <c r="B1288" s="59" t="s">
        <v>511</v>
      </c>
      <c r="C1288" s="59"/>
      <c r="D1288" s="59"/>
      <c r="E1288" s="59"/>
      <c r="F1288" s="59"/>
      <c r="G1288" s="59"/>
      <c r="H1288" s="59"/>
      <c r="I1288" s="61"/>
      <c r="J1288" s="62"/>
      <c r="K1288" s="62"/>
      <c r="L1288" s="62"/>
      <c r="M1288" s="62"/>
      <c r="N1288" s="62"/>
      <c r="O1288" s="62"/>
      <c r="P1288" s="62"/>
      <c r="Q1288" s="62"/>
    </row>
    <row r="1289" spans="1:17" ht="15" customHeight="1" x14ac:dyDescent="0.3">
      <c r="A1289" s="93"/>
      <c r="B1289" s="86"/>
      <c r="C1289" s="86"/>
      <c r="D1289" s="86"/>
      <c r="E1289" s="86"/>
      <c r="F1289" s="86"/>
      <c r="G1289" s="86"/>
      <c r="H1289" s="86"/>
      <c r="I1289" s="55"/>
      <c r="J1289" s="56"/>
      <c r="K1289" s="56"/>
      <c r="L1289" s="56"/>
      <c r="M1289" s="56"/>
      <c r="N1289" s="56"/>
      <c r="O1289" s="56"/>
      <c r="P1289" s="56"/>
      <c r="Q1289" s="56"/>
    </row>
    <row r="1290" spans="1:17" ht="29.1" customHeight="1" x14ac:dyDescent="0.25">
      <c r="A1290" s="127" t="s">
        <v>752</v>
      </c>
      <c r="B1290" s="77"/>
      <c r="C1290" s="187" t="s">
        <v>41</v>
      </c>
      <c r="D1290" s="187"/>
      <c r="E1290" s="187"/>
      <c r="F1290" s="187"/>
      <c r="G1290" s="187"/>
      <c r="H1290" s="187"/>
      <c r="I1290" s="78" t="s">
        <v>42</v>
      </c>
      <c r="J1290" s="41" t="s">
        <v>43</v>
      </c>
      <c r="K1290" s="41">
        <v>1000</v>
      </c>
      <c r="L1290" s="41">
        <v>2000</v>
      </c>
      <c r="M1290" s="41">
        <v>3000</v>
      </c>
      <c r="N1290" s="41">
        <v>4000</v>
      </c>
      <c r="O1290" s="41">
        <v>5000</v>
      </c>
      <c r="P1290" s="41">
        <v>6000</v>
      </c>
      <c r="Q1290" s="41">
        <v>7000</v>
      </c>
    </row>
    <row r="1291" spans="1:17" ht="15" customHeight="1" x14ac:dyDescent="0.3">
      <c r="A1291" s="42"/>
      <c r="B1291" s="43" t="s">
        <v>753</v>
      </c>
      <c r="C1291" s="44" t="s">
        <v>45</v>
      </c>
      <c r="D1291" s="45" t="s">
        <v>513</v>
      </c>
      <c r="E1291" s="46" t="s">
        <v>47</v>
      </c>
      <c r="F1291" s="47" t="s">
        <v>58</v>
      </c>
      <c r="G1291" s="46" t="s">
        <v>48</v>
      </c>
      <c r="H1291" s="47">
        <v>0.98</v>
      </c>
      <c r="I1291" s="48">
        <v>8</v>
      </c>
      <c r="J1291" s="49">
        <f>ROUND((4666*$T$1),0)*1.05</f>
        <v>4899.3</v>
      </c>
      <c r="K1291" s="49">
        <f>ROUND((4964*$T$1),0)*1.05</f>
        <v>5212.2</v>
      </c>
      <c r="L1291" s="49">
        <f>ROUND((5110*$T$1),0)*1.05</f>
        <v>5365.5</v>
      </c>
      <c r="M1291" s="49">
        <f>ROUND((5256*$T$1),0)*1.05</f>
        <v>5518.8</v>
      </c>
      <c r="N1291" s="49">
        <f>ROUND((5402*$T$1),0)*1.05</f>
        <v>5672.1</v>
      </c>
      <c r="O1291" s="49">
        <f>ROUND((5548*$T$1),0)*1.05</f>
        <v>5825.4000000000005</v>
      </c>
      <c r="P1291" s="49">
        <f>ROUND((5694*$T$1),0)*1.05</f>
        <v>5978.7</v>
      </c>
      <c r="Q1291" s="49">
        <f>ROUND((5840*$T$1),0)*1.05</f>
        <v>6132</v>
      </c>
    </row>
    <row r="1292" spans="1:17" ht="15" customHeight="1" x14ac:dyDescent="0.3">
      <c r="A1292" s="42"/>
      <c r="B1292" s="43" t="s">
        <v>754</v>
      </c>
      <c r="C1292" s="44" t="s">
        <v>45</v>
      </c>
      <c r="D1292" s="45" t="s">
        <v>755</v>
      </c>
      <c r="E1292" s="46" t="s">
        <v>47</v>
      </c>
      <c r="F1292" s="47" t="s">
        <v>58</v>
      </c>
      <c r="G1292" s="46" t="s">
        <v>48</v>
      </c>
      <c r="H1292" s="47">
        <v>0.98</v>
      </c>
      <c r="I1292" s="48">
        <v>8.5</v>
      </c>
      <c r="J1292" s="49">
        <f>ROUND((4912*$T$1),0)*1.05</f>
        <v>5157.6000000000004</v>
      </c>
      <c r="K1292" s="49">
        <f>ROUND((5225*$T$1),0)*1.05</f>
        <v>5486.25</v>
      </c>
      <c r="L1292" s="49">
        <f>ROUND((5379*$T$1),0)*1.05</f>
        <v>5647.95</v>
      </c>
      <c r="M1292" s="49">
        <f>ROUND((5533*$T$1),0)*1.05</f>
        <v>5809.6500000000005</v>
      </c>
      <c r="N1292" s="49">
        <f>ROUND((5687*$T$1),0)*1.05</f>
        <v>5971.35</v>
      </c>
      <c r="O1292" s="49">
        <f>ROUND((5840*$T$1),0)*1.05</f>
        <v>6132</v>
      </c>
      <c r="P1292" s="49">
        <f>ROUND((5994*$T$1),0)*1.05</f>
        <v>6293.7</v>
      </c>
      <c r="Q1292" s="49">
        <f>ROUND((6148*$T$1),0)*1.05</f>
        <v>6455.4000000000005</v>
      </c>
    </row>
    <row r="1293" spans="1:17" ht="15" customHeight="1" x14ac:dyDescent="0.3">
      <c r="A1293" s="42"/>
      <c r="B1293" s="43" t="s">
        <v>756</v>
      </c>
      <c r="C1293" s="44" t="s">
        <v>45</v>
      </c>
      <c r="D1293" s="45" t="s">
        <v>757</v>
      </c>
      <c r="E1293" s="46" t="s">
        <v>47</v>
      </c>
      <c r="F1293" s="47" t="s">
        <v>58</v>
      </c>
      <c r="G1293" s="46" t="s">
        <v>48</v>
      </c>
      <c r="H1293" s="47">
        <v>0.98</v>
      </c>
      <c r="I1293" s="48">
        <v>9</v>
      </c>
      <c r="J1293" s="49">
        <f>ROUND((5170*$T$1),0)*1.05</f>
        <v>5428.5</v>
      </c>
      <c r="K1293" s="49">
        <f>ROUND((5500*$T$1),0)*1.05</f>
        <v>5775</v>
      </c>
      <c r="L1293" s="49">
        <f>ROUND((5663*$T$1),0)*1.05</f>
        <v>5946.1500000000005</v>
      </c>
      <c r="M1293" s="49">
        <f>ROUND((5824*$T$1),0)*1.05</f>
        <v>6115.2</v>
      </c>
      <c r="N1293" s="49">
        <f>ROUND((5985*$T$1),0)*1.05</f>
        <v>6284.25</v>
      </c>
      <c r="O1293" s="49">
        <f>ROUND((6148*$T$1),0)*1.05</f>
        <v>6455.4000000000005</v>
      </c>
      <c r="P1293" s="49">
        <f>ROUND((6311*$T$1),0)*1.05</f>
        <v>6626.55</v>
      </c>
      <c r="Q1293" s="49">
        <f>ROUND((6474*$T$1),0)*1.05</f>
        <v>6797.7000000000007</v>
      </c>
    </row>
    <row r="1294" spans="1:17" ht="15" customHeight="1" x14ac:dyDescent="0.3">
      <c r="A1294" s="42"/>
      <c r="B1294" s="43" t="s">
        <v>758</v>
      </c>
      <c r="C1294" s="44" t="s">
        <v>45</v>
      </c>
      <c r="D1294" s="45" t="s">
        <v>759</v>
      </c>
      <c r="E1294" s="46" t="s">
        <v>47</v>
      </c>
      <c r="F1294" s="47" t="s">
        <v>58</v>
      </c>
      <c r="G1294" s="46" t="s">
        <v>48</v>
      </c>
      <c r="H1294" s="47">
        <v>0.98</v>
      </c>
      <c r="I1294" s="48">
        <v>9.5</v>
      </c>
      <c r="J1294" s="49">
        <f>ROUND((5442*$T$1),0)*1.05</f>
        <v>5714.1</v>
      </c>
      <c r="K1294" s="49">
        <f>ROUND((5790*$T$1),0)*1.05</f>
        <v>6079.5</v>
      </c>
      <c r="L1294" s="49">
        <f>ROUND((5960*$T$1),0)*1.05</f>
        <v>6258</v>
      </c>
      <c r="M1294" s="49">
        <f>ROUND((6130*$T$1),0)*1.05</f>
        <v>6436.5</v>
      </c>
      <c r="N1294" s="49">
        <f>ROUND((6300*$T$1),0)*1.05</f>
        <v>6615</v>
      </c>
      <c r="O1294" s="49">
        <f>ROUND((6471*$T$1),0)*1.05</f>
        <v>6794.55</v>
      </c>
      <c r="P1294" s="49">
        <f>ROUND((6642*$T$1),0)*1.05</f>
        <v>6974.1</v>
      </c>
      <c r="Q1294" s="49">
        <f>ROUND((6813*$T$1),0)*1.05</f>
        <v>7153.6500000000005</v>
      </c>
    </row>
    <row r="1295" spans="1:17" ht="15" customHeight="1" x14ac:dyDescent="0.3">
      <c r="A1295" s="42"/>
      <c r="B1295" s="43" t="s">
        <v>760</v>
      </c>
      <c r="C1295" s="44" t="s">
        <v>45</v>
      </c>
      <c r="D1295" s="45" t="s">
        <v>761</v>
      </c>
      <c r="E1295" s="46" t="s">
        <v>47</v>
      </c>
      <c r="F1295" s="47" t="s">
        <v>58</v>
      </c>
      <c r="G1295" s="46" t="s">
        <v>48</v>
      </c>
      <c r="H1295" s="47">
        <v>0.98</v>
      </c>
      <c r="I1295" s="48">
        <v>10</v>
      </c>
      <c r="J1295" s="49">
        <f>ROUND((5729*$T$1),0)*1.05</f>
        <v>6015.45</v>
      </c>
      <c r="K1295" s="49">
        <f>ROUND((6094*$T$1),0)*1.05</f>
        <v>6398.7</v>
      </c>
      <c r="L1295" s="49">
        <f>ROUND((6274*$T$1),0)*1.05</f>
        <v>6587.7000000000007</v>
      </c>
      <c r="M1295" s="49">
        <f>ROUND((6453*$T$1),0)*1.05</f>
        <v>6775.6500000000005</v>
      </c>
      <c r="N1295" s="49">
        <f>ROUND((6633*$T$1),0)*1.05</f>
        <v>6964.6500000000005</v>
      </c>
      <c r="O1295" s="49">
        <f>ROUND((6811*$T$1),0)*1.05</f>
        <v>7151.55</v>
      </c>
      <c r="P1295" s="49">
        <f>ROUND((6989*$T$1),0)*1.05</f>
        <v>7338.4500000000007</v>
      </c>
      <c r="Q1295" s="49">
        <f>ROUND((7167*$T$1),0)*1.05</f>
        <v>7525.35</v>
      </c>
    </row>
    <row r="1296" spans="1:17" ht="15" customHeight="1" x14ac:dyDescent="0.3">
      <c r="A1296" s="42"/>
      <c r="B1296" s="43" t="s">
        <v>762</v>
      </c>
      <c r="C1296" s="44" t="s">
        <v>45</v>
      </c>
      <c r="D1296" s="45" t="s">
        <v>474</v>
      </c>
      <c r="E1296" s="46" t="s">
        <v>47</v>
      </c>
      <c r="F1296" s="47" t="s">
        <v>58</v>
      </c>
      <c r="G1296" s="46" t="s">
        <v>48</v>
      </c>
      <c r="H1296" s="47">
        <v>0.98</v>
      </c>
      <c r="I1296" s="48">
        <v>10.5</v>
      </c>
      <c r="J1296" s="49">
        <f>ROUND((6016*$T$1),0)*1.05</f>
        <v>6316.8</v>
      </c>
      <c r="K1296" s="49">
        <f>ROUND((6399*$T$1),0)*1.05</f>
        <v>6718.9500000000007</v>
      </c>
      <c r="L1296" s="49">
        <f>ROUND((6588*$T$1),0)*1.05</f>
        <v>6917.4000000000005</v>
      </c>
      <c r="M1296" s="49">
        <f>ROUND((6775*$T$1),0)*1.05</f>
        <v>7113.75</v>
      </c>
      <c r="N1296" s="49">
        <f>ROUND((6964*$T$1),0)*1.05</f>
        <v>7312.2000000000007</v>
      </c>
      <c r="O1296" s="49">
        <f>ROUND((7153*$T$1),0)*1.05</f>
        <v>7510.6500000000005</v>
      </c>
      <c r="P1296" s="49">
        <f>ROUND((7342*$T$1),0)*1.05</f>
        <v>7709.1</v>
      </c>
      <c r="Q1296" s="49">
        <f>ROUND((7531*$T$1),0)*1.05</f>
        <v>7907.55</v>
      </c>
    </row>
    <row r="1297" spans="1:17" ht="15" customHeight="1" x14ac:dyDescent="0.3">
      <c r="A1297" s="42"/>
      <c r="B1297" s="43"/>
      <c r="C1297" s="44"/>
      <c r="D1297" s="45"/>
      <c r="E1297" s="46"/>
      <c r="F1297" s="47"/>
      <c r="G1297" s="46"/>
      <c r="H1297" s="47"/>
      <c r="I1297" s="48"/>
      <c r="J1297" s="49"/>
      <c r="K1297" s="49"/>
      <c r="L1297" s="49"/>
      <c r="M1297" s="49"/>
      <c r="N1297" s="49"/>
      <c r="O1297" s="49"/>
      <c r="P1297" s="49"/>
      <c r="Q1297" s="49"/>
    </row>
    <row r="1298" spans="1:17" ht="15" customHeight="1" x14ac:dyDescent="0.3">
      <c r="A1298" s="42"/>
      <c r="B1298" s="43" t="s">
        <v>763</v>
      </c>
      <c r="C1298" s="44" t="s">
        <v>45</v>
      </c>
      <c r="D1298" s="45" t="s">
        <v>513</v>
      </c>
      <c r="E1298" s="46" t="s">
        <v>47</v>
      </c>
      <c r="F1298" s="47">
        <v>0.6</v>
      </c>
      <c r="G1298" s="46" t="s">
        <v>48</v>
      </c>
      <c r="H1298" s="47">
        <v>0.45</v>
      </c>
      <c r="I1298" s="48">
        <v>5</v>
      </c>
      <c r="J1298" s="49">
        <f>ROUND((3733*$T$1),0)*1.05</f>
        <v>3919.65</v>
      </c>
      <c r="K1298" s="49">
        <f>ROUND((3971*$T$1),0)*1.05</f>
        <v>4169.55</v>
      </c>
      <c r="L1298" s="49">
        <f>ROUND((4088*$T$1),0)*1.05</f>
        <v>4292.4000000000005</v>
      </c>
      <c r="M1298" s="49">
        <f>ROUND((4205*$T$1),0)*1.05</f>
        <v>4415.25</v>
      </c>
      <c r="N1298" s="49">
        <f>ROUND((4322*$T$1),0)*1.05</f>
        <v>4538.1000000000004</v>
      </c>
      <c r="O1298" s="49">
        <f>ROUND((4438*$T$1),0)*1.05</f>
        <v>4659.9000000000005</v>
      </c>
      <c r="P1298" s="49">
        <f>ROUND((4554*$T$1),0)*1.05</f>
        <v>4781.7</v>
      </c>
      <c r="Q1298" s="49">
        <f>ROUND((4670*$T$1),0)*1.05</f>
        <v>4903.5</v>
      </c>
    </row>
    <row r="1299" spans="1:17" ht="15" customHeight="1" x14ac:dyDescent="0.3">
      <c r="A1299" s="42"/>
      <c r="B1299" s="43" t="s">
        <v>764</v>
      </c>
      <c r="C1299" s="44" t="s">
        <v>45</v>
      </c>
      <c r="D1299" s="45" t="s">
        <v>481</v>
      </c>
      <c r="E1299" s="46" t="s">
        <v>47</v>
      </c>
      <c r="F1299" s="47">
        <v>0.6</v>
      </c>
      <c r="G1299" s="46" t="s">
        <v>48</v>
      </c>
      <c r="H1299" s="47">
        <v>0.45</v>
      </c>
      <c r="I1299" s="48">
        <v>5.5</v>
      </c>
      <c r="J1299" s="49">
        <f>ROUND((3929*$T$1),0)*1.05</f>
        <v>4125.45</v>
      </c>
      <c r="K1299" s="49">
        <f>ROUND((4180*$T$1),0)*1.05</f>
        <v>4389</v>
      </c>
      <c r="L1299" s="49">
        <f>ROUND((4303*$T$1),0)*1.05</f>
        <v>4518.1500000000005</v>
      </c>
      <c r="M1299" s="49">
        <f>ROUND((4426*$T$1),0)*1.05</f>
        <v>4647.3</v>
      </c>
      <c r="N1299" s="49">
        <f>ROUND((4550*$T$1),0)*1.05</f>
        <v>4777.5</v>
      </c>
      <c r="O1299" s="49">
        <f>ROUND((4672*$T$1),0)*1.05</f>
        <v>4905.6000000000004</v>
      </c>
      <c r="P1299" s="49">
        <f>ROUND((4794*$T$1),0)*1.05</f>
        <v>5033.7</v>
      </c>
      <c r="Q1299" s="49">
        <f>ROUND((4916*$T$1),0)*1.05</f>
        <v>5161.8</v>
      </c>
    </row>
    <row r="1300" spans="1:17" ht="15" customHeight="1" x14ac:dyDescent="0.3">
      <c r="A1300" s="42"/>
      <c r="B1300" s="43" t="s">
        <v>765</v>
      </c>
      <c r="C1300" s="44" t="s">
        <v>45</v>
      </c>
      <c r="D1300" s="45" t="s">
        <v>479</v>
      </c>
      <c r="E1300" s="46" t="s">
        <v>47</v>
      </c>
      <c r="F1300" s="47">
        <v>0.6</v>
      </c>
      <c r="G1300" s="46" t="s">
        <v>48</v>
      </c>
      <c r="H1300" s="47">
        <v>0.45</v>
      </c>
      <c r="I1300" s="48">
        <v>6</v>
      </c>
      <c r="J1300" s="49">
        <f>ROUND((4135*$T$1),0)*1.05</f>
        <v>4341.75</v>
      </c>
      <c r="K1300" s="49">
        <f>ROUND((4400*$T$1),0)*1.05</f>
        <v>4620</v>
      </c>
      <c r="L1300" s="49">
        <f>ROUND((4530*$T$1),0)*1.05</f>
        <v>4756.5</v>
      </c>
      <c r="M1300" s="49">
        <f>ROUND((4659*$T$1),0)*1.05</f>
        <v>4891.95</v>
      </c>
      <c r="N1300" s="49">
        <f>ROUND((4788*$T$1),0)*1.05</f>
        <v>5027.4000000000005</v>
      </c>
      <c r="O1300" s="49">
        <f>ROUND((4918*$T$1),0)*1.05</f>
        <v>5163.9000000000005</v>
      </c>
      <c r="P1300" s="49">
        <f>ROUND((5048*$T$1),0)*1.05</f>
        <v>5300.4000000000005</v>
      </c>
      <c r="Q1300" s="49">
        <f>ROUND((5178*$T$1),0)*1.05</f>
        <v>5436.9000000000005</v>
      </c>
    </row>
    <row r="1301" spans="1:17" ht="15" customHeight="1" x14ac:dyDescent="0.3">
      <c r="A1301" s="42"/>
      <c r="B1301" s="43"/>
      <c r="C1301" s="44"/>
      <c r="D1301" s="45"/>
      <c r="E1301" s="46"/>
      <c r="F1301" s="47"/>
      <c r="G1301" s="46"/>
      <c r="H1301" s="47"/>
      <c r="I1301" s="48"/>
      <c r="J1301" s="49"/>
      <c r="K1301" s="49"/>
      <c r="L1301" s="49"/>
      <c r="M1301" s="49"/>
      <c r="N1301" s="49"/>
      <c r="O1301" s="49"/>
      <c r="P1301" s="49"/>
      <c r="Q1301" s="49"/>
    </row>
    <row r="1302" spans="1:17" ht="15" customHeight="1" x14ac:dyDescent="0.3">
      <c r="A1302" s="42"/>
      <c r="B1302" s="43" t="s">
        <v>362</v>
      </c>
      <c r="C1302" s="44" t="s">
        <v>45</v>
      </c>
      <c r="D1302" s="45" t="s">
        <v>766</v>
      </c>
      <c r="E1302" s="46" t="s">
        <v>47</v>
      </c>
      <c r="F1302" s="47">
        <v>0.7</v>
      </c>
      <c r="G1302" s="46" t="s">
        <v>48</v>
      </c>
      <c r="H1302" s="47">
        <v>0.98</v>
      </c>
      <c r="I1302" s="48">
        <v>3</v>
      </c>
      <c r="J1302" s="49">
        <f>ROUND((2063*$T$1),0)*1.05</f>
        <v>2166.15</v>
      </c>
      <c r="K1302" s="49">
        <f>ROUND((2063*$T$1),0)*1.05</f>
        <v>2166.15</v>
      </c>
      <c r="L1302" s="49">
        <f>ROUND((2235*$T$1),0)*1.05</f>
        <v>2346.75</v>
      </c>
      <c r="M1302" s="49">
        <f>ROUND((2276*$T$1),0)*1.05</f>
        <v>2389.8000000000002</v>
      </c>
      <c r="N1302" s="49">
        <f>ROUND((2317*$T$1),0)*1.05</f>
        <v>2432.85</v>
      </c>
      <c r="O1302" s="49">
        <f>ROUND((2359*$T$1),0)*1.05</f>
        <v>2476.9500000000003</v>
      </c>
      <c r="P1302" s="49">
        <f>ROUND((2401*$T$1),0)*1.05</f>
        <v>2521.0500000000002</v>
      </c>
      <c r="Q1302" s="49">
        <f>ROUND((2443*$T$1),0)*1.05</f>
        <v>2565.15</v>
      </c>
    </row>
    <row r="1303" spans="1:17" ht="15" customHeight="1" x14ac:dyDescent="0.3">
      <c r="A1303" s="42"/>
      <c r="B1303" s="97"/>
      <c r="C1303" s="98"/>
      <c r="D1303" s="99"/>
      <c r="E1303" s="99"/>
      <c r="F1303" s="99"/>
      <c r="G1303" s="99"/>
      <c r="H1303" s="99"/>
      <c r="I1303" s="100"/>
      <c r="J1303" s="101"/>
      <c r="K1303" s="101"/>
      <c r="L1303" s="101"/>
      <c r="M1303" s="101"/>
      <c r="N1303" s="101"/>
      <c r="O1303" s="101"/>
      <c r="P1303" s="101"/>
      <c r="Q1303" s="101"/>
    </row>
    <row r="1304" spans="1:17" ht="15" customHeight="1" x14ac:dyDescent="0.3">
      <c r="A1304" s="42"/>
      <c r="B1304" s="126" t="s">
        <v>418</v>
      </c>
      <c r="C1304" s="98"/>
      <c r="D1304" s="99"/>
      <c r="E1304" s="99"/>
      <c r="F1304" s="99"/>
      <c r="G1304" s="99"/>
      <c r="H1304" s="99"/>
      <c r="I1304" s="100"/>
      <c r="J1304" s="101"/>
      <c r="K1304" s="101"/>
      <c r="L1304" s="101"/>
      <c r="M1304" s="101"/>
      <c r="N1304" s="101"/>
      <c r="O1304" s="101"/>
      <c r="P1304" s="101"/>
      <c r="Q1304" s="101"/>
    </row>
    <row r="1305" spans="1:17" ht="15" customHeight="1" x14ac:dyDescent="0.3">
      <c r="A1305" s="42"/>
      <c r="B1305" s="59"/>
      <c r="C1305" s="59" t="s">
        <v>511</v>
      </c>
      <c r="D1305" s="59"/>
      <c r="E1305" s="59"/>
      <c r="F1305" s="59"/>
      <c r="G1305" s="59"/>
      <c r="H1305" s="59"/>
      <c r="I1305" s="61"/>
      <c r="J1305" s="62"/>
      <c r="K1305" s="62"/>
      <c r="L1305" s="62"/>
      <c r="M1305" s="62"/>
      <c r="N1305" s="62"/>
      <c r="O1305" s="62"/>
      <c r="P1305" s="62"/>
      <c r="Q1305" s="62"/>
    </row>
    <row r="1307" spans="1:17" ht="29.1" customHeight="1" x14ac:dyDescent="0.25">
      <c r="A1307" s="127" t="s">
        <v>767</v>
      </c>
      <c r="B1307" s="77"/>
      <c r="C1307" s="187" t="s">
        <v>41</v>
      </c>
      <c r="D1307" s="187"/>
      <c r="E1307" s="187"/>
      <c r="F1307" s="187"/>
      <c r="G1307" s="187"/>
      <c r="H1307" s="187"/>
      <c r="I1307" s="78" t="s">
        <v>42</v>
      </c>
      <c r="J1307" s="41" t="s">
        <v>43</v>
      </c>
      <c r="K1307" s="41">
        <v>1000</v>
      </c>
      <c r="L1307" s="41">
        <v>2000</v>
      </c>
      <c r="M1307" s="41">
        <v>3000</v>
      </c>
      <c r="N1307" s="41">
        <v>4000</v>
      </c>
      <c r="O1307" s="41">
        <v>5000</v>
      </c>
      <c r="P1307" s="41">
        <v>6000</v>
      </c>
      <c r="Q1307" s="41">
        <v>7000</v>
      </c>
    </row>
    <row r="1308" spans="1:17" ht="15" customHeight="1" x14ac:dyDescent="0.3">
      <c r="A1308" s="42"/>
      <c r="B1308" s="43" t="s">
        <v>768</v>
      </c>
      <c r="C1308" s="44" t="s">
        <v>45</v>
      </c>
      <c r="D1308" s="45" t="s">
        <v>513</v>
      </c>
      <c r="E1308" s="46" t="s">
        <v>47</v>
      </c>
      <c r="F1308" s="47">
        <v>0.8</v>
      </c>
      <c r="G1308" s="46" t="s">
        <v>48</v>
      </c>
      <c r="H1308" s="47">
        <v>0.95</v>
      </c>
      <c r="I1308" s="48">
        <v>8</v>
      </c>
      <c r="J1308" s="49">
        <f>ROUND((3893*$T$1),0)*1.05</f>
        <v>4087.65</v>
      </c>
      <c r="K1308" s="49">
        <f>ROUND((4142*$T$1),0)*1.05</f>
        <v>4349.1000000000004</v>
      </c>
      <c r="L1308" s="49">
        <f>ROUND((4282*$T$1),0)*1.05</f>
        <v>4496.1000000000004</v>
      </c>
      <c r="M1308" s="49">
        <f>ROUND((4421*$T$1),0)*1.05</f>
        <v>4642.05</v>
      </c>
      <c r="N1308" s="49">
        <f>ROUND((4559*$T$1),0)*1.05</f>
        <v>4786.95</v>
      </c>
      <c r="O1308" s="49">
        <f>ROUND((4700*$T$1),0)*1.05</f>
        <v>4935</v>
      </c>
      <c r="P1308" s="49">
        <f>ROUND((4841*$T$1),0)*1.05</f>
        <v>5083.05</v>
      </c>
      <c r="Q1308" s="49">
        <f>ROUND((4982*$T$1),0)*1.05</f>
        <v>5231.1000000000004</v>
      </c>
    </row>
    <row r="1309" spans="1:17" ht="15" customHeight="1" x14ac:dyDescent="0.3">
      <c r="A1309" s="42"/>
      <c r="B1309" s="43" t="s">
        <v>769</v>
      </c>
      <c r="C1309" s="44" t="s">
        <v>45</v>
      </c>
      <c r="D1309" s="45" t="s">
        <v>481</v>
      </c>
      <c r="E1309" s="46" t="s">
        <v>47</v>
      </c>
      <c r="F1309" s="47">
        <v>0.8</v>
      </c>
      <c r="G1309" s="46" t="s">
        <v>48</v>
      </c>
      <c r="H1309" s="47">
        <v>0.95</v>
      </c>
      <c r="I1309" s="48">
        <v>8.5</v>
      </c>
      <c r="J1309" s="49">
        <f>ROUND((4098*$T$1),0)*1.05</f>
        <v>4302.9000000000005</v>
      </c>
      <c r="K1309" s="49">
        <f>ROUND((4360*$T$1),0)*1.05</f>
        <v>4578</v>
      </c>
      <c r="L1309" s="49">
        <f>ROUND((4507*$T$1),0)*1.05</f>
        <v>4732.3500000000004</v>
      </c>
      <c r="M1309" s="49">
        <f>ROUND((4653*$T$1),0)*1.05</f>
        <v>4885.6500000000005</v>
      </c>
      <c r="N1309" s="49">
        <f>ROUND((4799*$T$1),0)*1.05</f>
        <v>5038.95</v>
      </c>
      <c r="O1309" s="49">
        <f>ROUND((4946*$T$1),0)*1.05</f>
        <v>5193.3</v>
      </c>
      <c r="P1309" s="49">
        <f>ROUND((5093*$T$1),0)*1.05</f>
        <v>5347.6500000000005</v>
      </c>
      <c r="Q1309" s="49">
        <f>ROUND((5240*$T$1),0)*1.05</f>
        <v>5502</v>
      </c>
    </row>
    <row r="1310" spans="1:17" ht="15" customHeight="1" x14ac:dyDescent="0.3">
      <c r="A1310" s="42"/>
      <c r="B1310" s="43" t="s">
        <v>770</v>
      </c>
      <c r="C1310" s="44" t="s">
        <v>45</v>
      </c>
      <c r="D1310" s="45" t="s">
        <v>479</v>
      </c>
      <c r="E1310" s="46" t="s">
        <v>47</v>
      </c>
      <c r="F1310" s="47">
        <v>0.8</v>
      </c>
      <c r="G1310" s="46" t="s">
        <v>48</v>
      </c>
      <c r="H1310" s="47">
        <v>0.95</v>
      </c>
      <c r="I1310" s="48">
        <v>10</v>
      </c>
      <c r="J1310" s="49">
        <f>ROUND((4314*$T$1),0)*1.05</f>
        <v>4529.7</v>
      </c>
      <c r="K1310" s="49">
        <f>ROUND((4590*$T$1),0)*1.05</f>
        <v>4819.5</v>
      </c>
      <c r="L1310" s="49">
        <f>ROUND((4745*$T$1),0)*1.05</f>
        <v>4982.25</v>
      </c>
      <c r="M1310" s="49">
        <f>ROUND((4898*$T$1),0)*1.05</f>
        <v>5142.9000000000005</v>
      </c>
      <c r="N1310" s="49">
        <f>ROUND((5052*$T$1),0)*1.05</f>
        <v>5304.6</v>
      </c>
      <c r="O1310" s="49">
        <f>ROUND((5207*$T$1),0)*1.05</f>
        <v>5467.35</v>
      </c>
      <c r="P1310" s="49">
        <f>ROUND((5362*$T$1),0)*1.05</f>
        <v>5630.1</v>
      </c>
      <c r="Q1310" s="49">
        <f>ROUND((5517*$T$1),0)*1.05</f>
        <v>5792.85</v>
      </c>
    </row>
    <row r="1311" spans="1:17" ht="15" customHeight="1" x14ac:dyDescent="0.3">
      <c r="A1311" s="42"/>
      <c r="B1311" s="43" t="s">
        <v>771</v>
      </c>
      <c r="C1311" s="44" t="s">
        <v>45</v>
      </c>
      <c r="D1311" s="45" t="s">
        <v>478</v>
      </c>
      <c r="E1311" s="46" t="s">
        <v>47</v>
      </c>
      <c r="F1311" s="47">
        <v>0.8</v>
      </c>
      <c r="G1311" s="46" t="s">
        <v>48</v>
      </c>
      <c r="H1311" s="47">
        <v>0.95</v>
      </c>
      <c r="I1311" s="48">
        <v>11</v>
      </c>
      <c r="J1311" s="49">
        <f>ROUND((4541*$T$1),0)*1.05</f>
        <v>4768.05</v>
      </c>
      <c r="K1311" s="49">
        <f>ROUND((4831*$T$1),0)*1.05</f>
        <v>5072.55</v>
      </c>
      <c r="L1311" s="49">
        <f>ROUND((4994*$T$1),0)*1.05</f>
        <v>5243.7</v>
      </c>
      <c r="M1311" s="49">
        <f>ROUND((5157*$T$1),0)*1.05</f>
        <v>5414.85</v>
      </c>
      <c r="N1311" s="49">
        <f>ROUND((5318*$T$1),0)*1.05</f>
        <v>5583.9000000000005</v>
      </c>
      <c r="O1311" s="49">
        <f>ROUND((5482*$T$1),0)*1.05</f>
        <v>5756.1</v>
      </c>
      <c r="P1311" s="49">
        <f>ROUND((5646*$T$1),0)*1.05</f>
        <v>5928.3</v>
      </c>
      <c r="Q1311" s="49">
        <f>ROUND((5810*$T$1),0)*1.05</f>
        <v>6100.5</v>
      </c>
    </row>
    <row r="1312" spans="1:17" ht="15" customHeight="1" x14ac:dyDescent="0.3">
      <c r="A1312" s="42"/>
      <c r="B1312" s="43" t="s">
        <v>772</v>
      </c>
      <c r="C1312" s="44" t="s">
        <v>45</v>
      </c>
      <c r="D1312" s="45" t="s">
        <v>476</v>
      </c>
      <c r="E1312" s="46" t="s">
        <v>47</v>
      </c>
      <c r="F1312" s="47">
        <v>0.8</v>
      </c>
      <c r="G1312" s="46" t="s">
        <v>48</v>
      </c>
      <c r="H1312" s="47">
        <v>0.95</v>
      </c>
      <c r="I1312" s="48">
        <v>11.5</v>
      </c>
      <c r="J1312" s="49">
        <f>ROUND((4781*$T$1),0)*1.05</f>
        <v>5020.05</v>
      </c>
      <c r="K1312" s="49">
        <f>ROUND((5096*$T$1),0)*1.05</f>
        <v>5350.8</v>
      </c>
      <c r="L1312" s="49">
        <f>ROUND((5257*$T$1),0)*1.05</f>
        <v>5519.85</v>
      </c>
      <c r="M1312" s="49">
        <f>ROUND((5428*$T$1),0)*1.05</f>
        <v>5699.4000000000005</v>
      </c>
      <c r="N1312" s="49">
        <f>ROUND((5598*$T$1),0)*1.05</f>
        <v>5877.9000000000005</v>
      </c>
      <c r="O1312" s="49">
        <f>ROUND((5769*$T$1),0)*1.05</f>
        <v>6057.45</v>
      </c>
      <c r="P1312" s="49">
        <f>ROUND((5940*$T$1),0)*1.05</f>
        <v>6237</v>
      </c>
      <c r="Q1312" s="49">
        <f>ROUND((6111*$T$1),0)*1.05</f>
        <v>6416.55</v>
      </c>
    </row>
    <row r="1313" spans="1:17" ht="15" customHeight="1" x14ac:dyDescent="0.3">
      <c r="A1313" s="42"/>
      <c r="B1313" s="43"/>
      <c r="C1313" s="44"/>
      <c r="D1313" s="45"/>
      <c r="E1313" s="46"/>
      <c r="F1313" s="47"/>
      <c r="G1313" s="46"/>
      <c r="H1313" s="47"/>
      <c r="I1313" s="48"/>
      <c r="J1313" s="49"/>
      <c r="K1313" s="49"/>
      <c r="L1313" s="49"/>
      <c r="M1313" s="49"/>
      <c r="N1313" s="49"/>
      <c r="O1313" s="49"/>
      <c r="P1313" s="49"/>
      <c r="Q1313" s="49"/>
    </row>
    <row r="1314" spans="1:17" ht="15" customHeight="1" x14ac:dyDescent="0.3">
      <c r="A1314" s="42"/>
      <c r="B1314" s="97"/>
      <c r="C1314" s="98"/>
      <c r="D1314" s="99"/>
      <c r="E1314" s="99"/>
      <c r="F1314" s="99"/>
      <c r="G1314" s="99"/>
      <c r="H1314" s="99"/>
      <c r="I1314" s="100"/>
      <c r="J1314" s="101"/>
      <c r="K1314" s="101"/>
      <c r="L1314" s="101"/>
      <c r="M1314" s="101"/>
      <c r="N1314" s="101"/>
      <c r="O1314" s="101"/>
      <c r="P1314" s="101"/>
      <c r="Q1314" s="101"/>
    </row>
    <row r="1315" spans="1:17" ht="15" customHeight="1" x14ac:dyDescent="0.3">
      <c r="A1315" s="42"/>
      <c r="B1315" s="126" t="s">
        <v>418</v>
      </c>
      <c r="C1315" s="98"/>
      <c r="D1315" s="99"/>
      <c r="E1315" s="99"/>
      <c r="F1315" s="99"/>
      <c r="G1315" s="99"/>
      <c r="H1315" s="99"/>
      <c r="I1315" s="100"/>
      <c r="J1315" s="101"/>
      <c r="K1315" s="101"/>
      <c r="L1315" s="101"/>
      <c r="M1315" s="101"/>
      <c r="N1315" s="101"/>
      <c r="O1315" s="101"/>
      <c r="P1315" s="101"/>
      <c r="Q1315" s="101"/>
    </row>
    <row r="1316" spans="1:17" ht="15" customHeight="1" x14ac:dyDescent="0.3">
      <c r="A1316" s="42"/>
      <c r="B1316" s="97"/>
      <c r="C1316" s="98"/>
      <c r="D1316" s="99"/>
      <c r="E1316" s="99"/>
      <c r="F1316" s="99"/>
      <c r="G1316" s="99"/>
      <c r="H1316" s="99"/>
      <c r="I1316" s="100"/>
      <c r="J1316" s="101"/>
      <c r="K1316" s="101"/>
      <c r="L1316" s="101"/>
      <c r="M1316" s="101"/>
      <c r="N1316" s="101"/>
      <c r="O1316" s="101"/>
      <c r="P1316" s="101"/>
      <c r="Q1316" s="101"/>
    </row>
    <row r="1317" spans="1:17" ht="15" customHeight="1" x14ac:dyDescent="0.3">
      <c r="A1317" s="42"/>
      <c r="B1317" s="59"/>
      <c r="C1317" s="59" t="s">
        <v>511</v>
      </c>
      <c r="D1317" s="59"/>
      <c r="E1317" s="59"/>
      <c r="F1317" s="59"/>
      <c r="G1317" s="59"/>
      <c r="H1317" s="59"/>
      <c r="I1317" s="61"/>
      <c r="J1317" s="62"/>
      <c r="K1317" s="62"/>
      <c r="L1317" s="62"/>
      <c r="M1317" s="62"/>
      <c r="N1317" s="62"/>
      <c r="O1317" s="62"/>
      <c r="P1317" s="62"/>
      <c r="Q1317" s="62"/>
    </row>
    <row r="1319" spans="1:17" ht="29.1" customHeight="1" x14ac:dyDescent="0.25">
      <c r="A1319" s="127" t="s">
        <v>773</v>
      </c>
      <c r="B1319" s="77"/>
      <c r="C1319" s="187" t="s">
        <v>41</v>
      </c>
      <c r="D1319" s="187"/>
      <c r="E1319" s="187"/>
      <c r="F1319" s="187"/>
      <c r="G1319" s="187"/>
      <c r="H1319" s="187"/>
      <c r="I1319" s="78" t="s">
        <v>42</v>
      </c>
      <c r="J1319" s="41" t="s">
        <v>43</v>
      </c>
      <c r="K1319" s="41">
        <v>1000</v>
      </c>
      <c r="L1319" s="41">
        <v>2000</v>
      </c>
      <c r="M1319" s="41">
        <v>3000</v>
      </c>
      <c r="N1319" s="41">
        <v>4000</v>
      </c>
      <c r="O1319" s="41">
        <v>5000</v>
      </c>
      <c r="P1319" s="41">
        <v>6000</v>
      </c>
      <c r="Q1319" s="41">
        <v>7000</v>
      </c>
    </row>
    <row r="1320" spans="1:17" ht="15" customHeight="1" x14ac:dyDescent="0.3">
      <c r="A1320" s="42"/>
      <c r="B1320" s="43" t="s">
        <v>774</v>
      </c>
      <c r="C1320" s="44" t="s">
        <v>45</v>
      </c>
      <c r="D1320" s="45" t="s">
        <v>513</v>
      </c>
      <c r="E1320" s="46" t="s">
        <v>47</v>
      </c>
      <c r="F1320" s="47">
        <v>0.96</v>
      </c>
      <c r="G1320" s="46" t="s">
        <v>48</v>
      </c>
      <c r="H1320" s="47">
        <v>0.98</v>
      </c>
      <c r="I1320" s="48">
        <v>8.5</v>
      </c>
      <c r="J1320" s="49">
        <f>ROUND((4200*$T$1),0)*1.05</f>
        <v>4410</v>
      </c>
      <c r="K1320" s="49">
        <f>ROUND((4468*$T$1),0)*1.05</f>
        <v>4691.4000000000005</v>
      </c>
      <c r="L1320" s="49">
        <f>ROUND((4599*$T$1),0)*1.05</f>
        <v>4828.95</v>
      </c>
      <c r="M1320" s="49">
        <f>ROUND((4731*$T$1),0)*1.05</f>
        <v>4967.55</v>
      </c>
      <c r="N1320" s="49">
        <f>ROUND((4861*$T$1),0)*1.05</f>
        <v>5104.05</v>
      </c>
      <c r="O1320" s="49">
        <f>ROUND((4993*$T$1),0)*1.05</f>
        <v>5242.6500000000005</v>
      </c>
      <c r="P1320" s="49">
        <f>ROUND((5125*$T$1),0)*1.05</f>
        <v>5381.25</v>
      </c>
      <c r="Q1320" s="49">
        <f>ROUND((5257*$T$1),0)*1.05</f>
        <v>5519.85</v>
      </c>
    </row>
    <row r="1321" spans="1:17" ht="15" customHeight="1" x14ac:dyDescent="0.3">
      <c r="A1321" s="42"/>
      <c r="B1321" s="43" t="s">
        <v>775</v>
      </c>
      <c r="C1321" s="44" t="s">
        <v>45</v>
      </c>
      <c r="D1321" s="45" t="s">
        <v>481</v>
      </c>
      <c r="E1321" s="46" t="s">
        <v>47</v>
      </c>
      <c r="F1321" s="47">
        <v>0.96</v>
      </c>
      <c r="G1321" s="46" t="s">
        <v>48</v>
      </c>
      <c r="H1321" s="47">
        <v>0.98</v>
      </c>
      <c r="I1321" s="48">
        <v>9</v>
      </c>
      <c r="J1321" s="49">
        <f>ROUND((4420*$T$1),0)*1.05</f>
        <v>4641</v>
      </c>
      <c r="K1321" s="49">
        <f>ROUND((4703*$T$1),0)*1.05</f>
        <v>4938.1500000000005</v>
      </c>
      <c r="L1321" s="49">
        <f>ROUND((4842*$T$1),0)*1.05</f>
        <v>5084.1000000000004</v>
      </c>
      <c r="M1321" s="49">
        <f>ROUND((4979*$T$1),0)*1.05</f>
        <v>5227.95</v>
      </c>
      <c r="N1321" s="49">
        <f>ROUND((5118*$T$1),0)*1.05</f>
        <v>5373.9000000000005</v>
      </c>
      <c r="O1321" s="49">
        <f>ROUND((5256*$T$1),0)*1.05</f>
        <v>5518.8</v>
      </c>
      <c r="P1321" s="49">
        <f>ROUND((5394*$T$1),0)*1.05</f>
        <v>5663.7</v>
      </c>
      <c r="Q1321" s="49">
        <f>ROUND((5532*$T$1),0)*1.05</f>
        <v>5808.6</v>
      </c>
    </row>
    <row r="1322" spans="1:17" ht="15" customHeight="1" x14ac:dyDescent="0.3">
      <c r="A1322" s="42"/>
      <c r="B1322" s="43" t="s">
        <v>776</v>
      </c>
      <c r="C1322" s="44" t="s">
        <v>45</v>
      </c>
      <c r="D1322" s="45" t="s">
        <v>479</v>
      </c>
      <c r="E1322" s="46" t="s">
        <v>47</v>
      </c>
      <c r="F1322" s="47">
        <v>0.96</v>
      </c>
      <c r="G1322" s="46" t="s">
        <v>48</v>
      </c>
      <c r="H1322" s="47">
        <v>0.98</v>
      </c>
      <c r="I1322" s="48">
        <v>9.5</v>
      </c>
      <c r="J1322" s="49">
        <f>ROUND((4653*$T$1),0)*1.05</f>
        <v>4885.6500000000005</v>
      </c>
      <c r="K1322" s="49">
        <f>ROUND((4950*$T$1),0)*1.05</f>
        <v>5197.5</v>
      </c>
      <c r="L1322" s="49">
        <f>ROUND((5097*$T$1),0)*1.05</f>
        <v>5351.85</v>
      </c>
      <c r="M1322" s="49">
        <f>ROUND((5242*$T$1),0)*1.05</f>
        <v>5504.1</v>
      </c>
      <c r="N1322" s="49">
        <f>ROUND((5387*$T$1),0)*1.05</f>
        <v>5656.35</v>
      </c>
      <c r="O1322" s="49">
        <f>ROUND((5533*$T$1),0)*1.05</f>
        <v>5809.6500000000005</v>
      </c>
      <c r="P1322" s="49">
        <f>ROUND((5678*$T$1),0)*1.05</f>
        <v>5961.9000000000005</v>
      </c>
      <c r="Q1322" s="49">
        <f>ROUND((5823*$T$1),0)*1.05</f>
        <v>6114.1500000000005</v>
      </c>
    </row>
    <row r="1323" spans="1:17" ht="15" customHeight="1" x14ac:dyDescent="0.3">
      <c r="A1323" s="42"/>
      <c r="B1323" s="43" t="s">
        <v>777</v>
      </c>
      <c r="C1323" s="44" t="s">
        <v>45</v>
      </c>
      <c r="D1323" s="45" t="s">
        <v>478</v>
      </c>
      <c r="E1323" s="46" t="s">
        <v>47</v>
      </c>
      <c r="F1323" s="47">
        <v>0.96</v>
      </c>
      <c r="G1323" s="46" t="s">
        <v>48</v>
      </c>
      <c r="H1323" s="47">
        <v>0.98</v>
      </c>
      <c r="I1323" s="48">
        <v>10</v>
      </c>
      <c r="J1323" s="49">
        <f>ROUND((4898*$T$1),0)*1.05</f>
        <v>5142.9000000000005</v>
      </c>
      <c r="K1323" s="49">
        <f>ROUND((5211*$T$1),0)*1.05</f>
        <v>5471.55</v>
      </c>
      <c r="L1323" s="49">
        <f>ROUND((5394*$T$1),0)*1.05</f>
        <v>5663.7</v>
      </c>
      <c r="M1323" s="49">
        <f>ROUND((5518*$T$1),0)*1.05</f>
        <v>5793.9000000000005</v>
      </c>
      <c r="N1323" s="49">
        <f>ROUND((5670*$T$1),0)*1.05</f>
        <v>5953.5</v>
      </c>
      <c r="O1323" s="49">
        <f>ROUND((5824*$T$1),0)*1.05</f>
        <v>6115.2</v>
      </c>
      <c r="P1323" s="49">
        <f>ROUND((5978*$T$1),0)*1.05</f>
        <v>6276.9000000000005</v>
      </c>
      <c r="Q1323" s="49">
        <f>ROUND((6132*$T$1),0)*1.05</f>
        <v>6438.6</v>
      </c>
    </row>
    <row r="1324" spans="1:17" ht="15" customHeight="1" x14ac:dyDescent="0.3">
      <c r="A1324" s="42"/>
      <c r="B1324" s="43" t="s">
        <v>778</v>
      </c>
      <c r="C1324" s="44" t="s">
        <v>45</v>
      </c>
      <c r="D1324" s="45" t="s">
        <v>476</v>
      </c>
      <c r="E1324" s="46" t="s">
        <v>47</v>
      </c>
      <c r="F1324" s="47">
        <v>0.96</v>
      </c>
      <c r="G1324" s="46" t="s">
        <v>48</v>
      </c>
      <c r="H1324" s="47">
        <v>0.98</v>
      </c>
      <c r="I1324" s="48">
        <v>10.5</v>
      </c>
      <c r="J1324" s="49">
        <f>ROUND((5156*$T$1),0)*1.05</f>
        <v>5413.8</v>
      </c>
      <c r="K1324" s="49">
        <f>ROUND((5485*$T$1),0)*1.05</f>
        <v>5759.25</v>
      </c>
      <c r="L1324" s="49">
        <f>ROUND((5646*$T$1),0)*1.05</f>
        <v>5928.3</v>
      </c>
      <c r="M1324" s="49">
        <f>ROUND((5908*$T$1),0)*1.05</f>
        <v>6203.4000000000005</v>
      </c>
      <c r="N1324" s="49">
        <f>ROUND((5970*$T$1),0)*1.05</f>
        <v>6268.5</v>
      </c>
      <c r="O1324" s="49">
        <f>ROUND((6130*$T$1),0)*1.05</f>
        <v>6436.5</v>
      </c>
      <c r="P1324" s="49">
        <f>ROUND((6290*$T$1),0)*1.05</f>
        <v>6604.5</v>
      </c>
      <c r="Q1324" s="49">
        <f>ROUND((6450*$T$1),0)*1.05</f>
        <v>6772.5</v>
      </c>
    </row>
    <row r="1325" spans="1:17" ht="15" customHeight="1" x14ac:dyDescent="0.3">
      <c r="A1325" s="42"/>
      <c r="B1325" s="43" t="s">
        <v>762</v>
      </c>
      <c r="C1325" s="44" t="s">
        <v>45</v>
      </c>
      <c r="D1325" s="45" t="s">
        <v>474</v>
      </c>
      <c r="E1325" s="46" t="s">
        <v>47</v>
      </c>
      <c r="F1325" s="47">
        <v>0.96</v>
      </c>
      <c r="G1325" s="46" t="s">
        <v>48</v>
      </c>
      <c r="H1325" s="47">
        <v>0.98</v>
      </c>
      <c r="I1325" s="48">
        <v>11</v>
      </c>
      <c r="J1325" s="49">
        <f>ROUND((5196*$T$1),0)*1.05</f>
        <v>5455.8</v>
      </c>
      <c r="K1325" s="49">
        <f>ROUND((5760*$T$1),0)*1.05</f>
        <v>6048</v>
      </c>
      <c r="L1325" s="49">
        <f>ROUND((5930*$T$1),0)*1.05</f>
        <v>6226.5</v>
      </c>
      <c r="M1325" s="49">
        <f>ROUND((6098*$T$1),0)*1.05</f>
        <v>6402.9000000000005</v>
      </c>
      <c r="N1325" s="49">
        <f>ROUND((6268*$T$1),0)*1.05</f>
        <v>6581.4000000000005</v>
      </c>
      <c r="O1325" s="49">
        <f>ROUND((6438*$T$1),0)*1.05</f>
        <v>6759.9000000000005</v>
      </c>
      <c r="P1325" s="49">
        <f>ROUND((6608*$T$1),0)*1.05</f>
        <v>6938.4000000000005</v>
      </c>
      <c r="Q1325" s="49">
        <f>ROUND((6778*$T$1),0)*1.05</f>
        <v>7116.9000000000005</v>
      </c>
    </row>
    <row r="1326" spans="1:17" ht="15" customHeight="1" x14ac:dyDescent="0.3">
      <c r="A1326" s="42"/>
      <c r="B1326" s="43"/>
      <c r="C1326" s="44"/>
      <c r="D1326" s="45"/>
      <c r="E1326" s="46"/>
      <c r="F1326" s="47"/>
      <c r="G1326" s="46"/>
      <c r="H1326" s="47"/>
      <c r="I1326" s="48"/>
      <c r="J1326" s="49"/>
      <c r="K1326" s="49"/>
      <c r="L1326" s="49"/>
      <c r="M1326" s="49"/>
      <c r="N1326" s="49"/>
      <c r="O1326" s="49"/>
      <c r="P1326" s="49"/>
      <c r="Q1326" s="49"/>
    </row>
    <row r="1327" spans="1:17" ht="15" customHeight="1" x14ac:dyDescent="0.3">
      <c r="A1327" s="42"/>
      <c r="B1327" s="126" t="s">
        <v>418</v>
      </c>
      <c r="C1327" s="98"/>
      <c r="D1327" s="99"/>
      <c r="E1327" s="99"/>
      <c r="F1327" s="99"/>
      <c r="G1327" s="99"/>
      <c r="H1327" s="99"/>
      <c r="I1327" s="100"/>
      <c r="J1327" s="101"/>
      <c r="K1327" s="101"/>
      <c r="L1327" s="101"/>
      <c r="M1327" s="101"/>
      <c r="N1327" s="101"/>
      <c r="O1327" s="101"/>
      <c r="P1327" s="101"/>
      <c r="Q1327" s="101"/>
    </row>
    <row r="1328" spans="1:17" ht="15" customHeight="1" x14ac:dyDescent="0.3">
      <c r="A1328" s="42"/>
      <c r="B1328" s="97"/>
      <c r="C1328" s="98"/>
      <c r="D1328" s="99"/>
      <c r="E1328" s="99"/>
      <c r="F1328" s="99"/>
      <c r="G1328" s="99"/>
      <c r="H1328" s="99"/>
      <c r="I1328" s="100"/>
      <c r="J1328" s="101"/>
      <c r="K1328" s="101"/>
      <c r="L1328" s="101"/>
      <c r="M1328" s="87"/>
      <c r="N1328" s="101"/>
      <c r="O1328" s="101"/>
      <c r="P1328" s="101"/>
      <c r="Q1328" s="101"/>
    </row>
    <row r="1329" spans="1:19" ht="15" customHeight="1" x14ac:dyDescent="0.3">
      <c r="A1329" s="42"/>
      <c r="B1329" s="59"/>
      <c r="C1329" s="59" t="s">
        <v>511</v>
      </c>
      <c r="D1329" s="59"/>
      <c r="E1329" s="59"/>
      <c r="F1329" s="59"/>
      <c r="G1329" s="59"/>
      <c r="H1329" s="59"/>
      <c r="I1329" s="61"/>
      <c r="J1329" s="62"/>
      <c r="K1329" s="62"/>
      <c r="L1329" s="62"/>
      <c r="M1329" s="62"/>
      <c r="N1329" s="62"/>
      <c r="O1329" s="62"/>
      <c r="P1329" s="62"/>
      <c r="Q1329" s="62"/>
    </row>
    <row r="1331" spans="1:19" ht="29.1" customHeight="1" x14ac:dyDescent="0.25">
      <c r="A1331" s="127" t="s">
        <v>779</v>
      </c>
      <c r="B1331" s="77"/>
      <c r="C1331" s="187" t="s">
        <v>41</v>
      </c>
      <c r="D1331" s="187"/>
      <c r="E1331" s="187"/>
      <c r="F1331" s="187"/>
      <c r="G1331" s="187"/>
      <c r="H1331" s="187"/>
      <c r="I1331" s="78" t="s">
        <v>42</v>
      </c>
      <c r="J1331" s="41" t="s">
        <v>43</v>
      </c>
      <c r="K1331" s="41">
        <v>1000</v>
      </c>
      <c r="L1331" s="41">
        <v>2000</v>
      </c>
      <c r="M1331" s="41">
        <v>3000</v>
      </c>
      <c r="N1331" s="41">
        <v>4000</v>
      </c>
      <c r="O1331" s="41">
        <v>5000</v>
      </c>
      <c r="P1331" s="41">
        <v>6000</v>
      </c>
      <c r="Q1331" s="41">
        <v>7000</v>
      </c>
    </row>
    <row r="1332" spans="1:19" ht="15" customHeight="1" x14ac:dyDescent="0.3">
      <c r="A1332" s="42"/>
      <c r="B1332" s="43" t="s">
        <v>780</v>
      </c>
      <c r="C1332" s="44" t="s">
        <v>45</v>
      </c>
      <c r="D1332" s="45" t="s">
        <v>387</v>
      </c>
      <c r="E1332" s="46" t="s">
        <v>47</v>
      </c>
      <c r="F1332" s="47">
        <v>0.8</v>
      </c>
      <c r="G1332" s="46" t="s">
        <v>48</v>
      </c>
      <c r="H1332" s="47">
        <v>0.98</v>
      </c>
      <c r="I1332" s="48">
        <v>8</v>
      </c>
      <c r="J1332" s="49">
        <f>ROUND((3182*$T$1),0)*1.05</f>
        <v>3341.1000000000004</v>
      </c>
      <c r="K1332" s="49">
        <f>ROUND((3386*$T$1),0)*1.05</f>
        <v>3555.3</v>
      </c>
      <c r="L1332" s="49">
        <f>ROUND((3524*$T$1),0)*1.05</f>
        <v>3700.2000000000003</v>
      </c>
      <c r="M1332" s="49">
        <f>ROUND((3661*$T$1),0)*1.05</f>
        <v>3844.05</v>
      </c>
      <c r="N1332" s="49">
        <f>ROUND((3800*$T$1),0)*1.05</f>
        <v>3990</v>
      </c>
      <c r="O1332" s="49">
        <f>ROUND((3939*$T$1),0)*1.05</f>
        <v>4135.95</v>
      </c>
      <c r="P1332" s="49">
        <f>ROUND((4078*$T$1),0)*1.05</f>
        <v>4281.9000000000005</v>
      </c>
      <c r="Q1332" s="49">
        <f>ROUND((4217*$T$1),0)*1.05</f>
        <v>4427.8500000000004</v>
      </c>
    </row>
    <row r="1333" spans="1:19" ht="15" customHeight="1" x14ac:dyDescent="0.3">
      <c r="A1333" s="42"/>
      <c r="B1333" s="43" t="s">
        <v>753</v>
      </c>
      <c r="C1333" s="44" t="s">
        <v>45</v>
      </c>
      <c r="D1333" s="45" t="s">
        <v>513</v>
      </c>
      <c r="E1333" s="46" t="s">
        <v>47</v>
      </c>
      <c r="F1333" s="47">
        <v>0.8</v>
      </c>
      <c r="G1333" s="46" t="s">
        <v>48</v>
      </c>
      <c r="H1333" s="47">
        <v>0.98</v>
      </c>
      <c r="I1333" s="48">
        <v>8.5</v>
      </c>
      <c r="J1333" s="49">
        <f>ROUND((3350*$T$1),0)*1.05</f>
        <v>3517.5</v>
      </c>
      <c r="K1333" s="49">
        <f>ROUND((3593*$T$1),0)*1.05</f>
        <v>3772.65</v>
      </c>
      <c r="L1333" s="49">
        <f>ROUND((3708*$T$1),0)*1.05</f>
        <v>3893.4</v>
      </c>
      <c r="M1333" s="49">
        <f>ROUND((3854*$T$1),0)*1.05</f>
        <v>4046.7000000000003</v>
      </c>
      <c r="N1333" s="49">
        <f>ROUND((4002*$T$1),0)*1.05</f>
        <v>4202.1000000000004</v>
      </c>
      <c r="O1333" s="49">
        <f>ROUND((4146*$T$1),0)*1.05</f>
        <v>4353.3</v>
      </c>
      <c r="P1333" s="49">
        <f>ROUND((4294*$T$1),0)*1.05</f>
        <v>4508.7</v>
      </c>
      <c r="Q1333" s="49">
        <f>ROUND((4442*$T$1),0)*1.05</f>
        <v>4664.1000000000004</v>
      </c>
    </row>
    <row r="1334" spans="1:19" ht="15" customHeight="1" x14ac:dyDescent="0.3">
      <c r="A1334" s="42"/>
      <c r="B1334" s="43" t="s">
        <v>781</v>
      </c>
      <c r="C1334" s="44" t="s">
        <v>45</v>
      </c>
      <c r="D1334" s="45" t="s">
        <v>481</v>
      </c>
      <c r="E1334" s="46" t="s">
        <v>47</v>
      </c>
      <c r="F1334" s="47">
        <v>0.8</v>
      </c>
      <c r="G1334" s="46" t="s">
        <v>48</v>
      </c>
      <c r="H1334" s="47">
        <v>0.98</v>
      </c>
      <c r="I1334" s="48">
        <v>9</v>
      </c>
      <c r="J1334" s="49">
        <f>ROUND((3525*$T$1),0)*1.05</f>
        <v>3701.25</v>
      </c>
      <c r="K1334" s="49">
        <f>ROUND((3751*$T$1),0)*1.05</f>
        <v>3938.55</v>
      </c>
      <c r="L1334" s="49">
        <f>ROUND((3904*$T$1),0)*1.05</f>
        <v>4099.2</v>
      </c>
      <c r="M1334" s="49">
        <f>ROUND((4057*$T$1),0)*1.05</f>
        <v>4259.8500000000004</v>
      </c>
      <c r="N1334" s="49">
        <f>ROUND((4211*$T$1),0)*1.05</f>
        <v>4421.55</v>
      </c>
      <c r="O1334" s="49">
        <f>ROUND((4364*$T$1),0)*1.05</f>
        <v>4582.2</v>
      </c>
      <c r="P1334" s="49">
        <f>ROUND((4517*$T$1),0)*1.05</f>
        <v>4742.8500000000004</v>
      </c>
      <c r="Q1334" s="49">
        <f>ROUND((4670*$T$1),0)*1.05</f>
        <v>4903.5</v>
      </c>
    </row>
    <row r="1335" spans="1:19" ht="15" customHeight="1" x14ac:dyDescent="0.3">
      <c r="A1335" s="42"/>
      <c r="B1335" s="43" t="s">
        <v>756</v>
      </c>
      <c r="C1335" s="44" t="s">
        <v>45</v>
      </c>
      <c r="D1335" s="45" t="s">
        <v>479</v>
      </c>
      <c r="E1335" s="46" t="s">
        <v>47</v>
      </c>
      <c r="F1335" s="47">
        <v>0.8</v>
      </c>
      <c r="G1335" s="46" t="s">
        <v>48</v>
      </c>
      <c r="H1335" s="47">
        <v>0.98</v>
      </c>
      <c r="I1335" s="48">
        <v>9.5</v>
      </c>
      <c r="J1335" s="49">
        <f>ROUND((3711*$T$1),0)*1.05</f>
        <v>3896.55</v>
      </c>
      <c r="K1335" s="49">
        <f>ROUND((3948*$T$1),0)*1.05</f>
        <v>4145.4000000000005</v>
      </c>
      <c r="L1335" s="49">
        <f>ROUND((4109*$T$1),0)*1.05</f>
        <v>4314.45</v>
      </c>
      <c r="M1335" s="49">
        <f>ROUND((4271*$T$1),0)*1.05</f>
        <v>4484.55</v>
      </c>
      <c r="N1335" s="49">
        <f>ROUND((4433*$T$1),0)*1.05</f>
        <v>4654.6500000000005</v>
      </c>
      <c r="O1335" s="49">
        <f>ROUND((4593*$T$1),0)*1.05</f>
        <v>4822.6500000000005</v>
      </c>
      <c r="P1335" s="49">
        <f>ROUND((4753*$T$1),0)*1.05</f>
        <v>4990.6500000000005</v>
      </c>
      <c r="Q1335" s="49">
        <f>ROUND((4913*$T$1),0)*1.05</f>
        <v>5158.6500000000005</v>
      </c>
    </row>
    <row r="1336" spans="1:19" ht="15" customHeight="1" x14ac:dyDescent="0.3">
      <c r="A1336" s="42"/>
      <c r="B1336" s="43" t="s">
        <v>758</v>
      </c>
      <c r="C1336" s="44" t="s">
        <v>45</v>
      </c>
      <c r="D1336" s="45" t="s">
        <v>478</v>
      </c>
      <c r="E1336" s="46" t="s">
        <v>47</v>
      </c>
      <c r="F1336" s="47">
        <v>0.8</v>
      </c>
      <c r="G1336" s="46" t="s">
        <v>48</v>
      </c>
      <c r="H1336" s="47">
        <v>0.98</v>
      </c>
      <c r="I1336" s="48">
        <v>10</v>
      </c>
      <c r="J1336" s="49">
        <f>ROUND((3907*$T$1),0)*1.05</f>
        <v>4102.3500000000004</v>
      </c>
      <c r="K1336" s="49">
        <f>ROUND((4155*$T$1),0)*1.05</f>
        <v>4362.75</v>
      </c>
      <c r="L1336" s="49">
        <f>ROUND((4326*$T$1),0)*1.05</f>
        <v>4542.3</v>
      </c>
      <c r="M1336" s="49">
        <f>ROUND((4496*$T$1),0)*1.05</f>
        <v>4720.8</v>
      </c>
      <c r="N1336" s="49">
        <f>ROUND((4666*$T$1),0)*1.05</f>
        <v>4899.3</v>
      </c>
      <c r="O1336" s="49">
        <f>ROUND((4836*$T$1),0)*1.05</f>
        <v>5077.8</v>
      </c>
      <c r="P1336" s="49">
        <f>ROUND((5006*$T$1),0)*1.05</f>
        <v>5256.3</v>
      </c>
      <c r="Q1336" s="49">
        <f>ROUND((5176*$T$1),0)*1.05</f>
        <v>5434.8</v>
      </c>
    </row>
    <row r="1337" spans="1:19" ht="15" customHeight="1" x14ac:dyDescent="0.3">
      <c r="A1337" s="42"/>
      <c r="B1337" s="43" t="s">
        <v>782</v>
      </c>
      <c r="C1337" s="44" t="s">
        <v>45</v>
      </c>
      <c r="D1337" s="45" t="s">
        <v>476</v>
      </c>
      <c r="E1337" s="46" t="s">
        <v>47</v>
      </c>
      <c r="F1337" s="47">
        <v>0.8</v>
      </c>
      <c r="G1337" s="46" t="s">
        <v>48</v>
      </c>
      <c r="H1337" s="47">
        <v>0.98</v>
      </c>
      <c r="I1337" s="48">
        <v>10.5</v>
      </c>
      <c r="J1337" s="49">
        <f>ROUND((4111*$T$1),0)*1.05</f>
        <v>4316.55</v>
      </c>
      <c r="K1337" s="49">
        <f>ROUND((4374*$T$1),0)*1.05</f>
        <v>4592.7</v>
      </c>
      <c r="L1337" s="49">
        <f>ROUND((4554*$T$1),0)*1.05</f>
        <v>4781.7</v>
      </c>
      <c r="M1337" s="49">
        <f>ROUND((4733*$T$1),0)*1.05</f>
        <v>4969.6500000000005</v>
      </c>
      <c r="N1337" s="49">
        <f>ROUND((4912*$T$1),0)*1.05</f>
        <v>5157.6000000000004</v>
      </c>
      <c r="O1337" s="49">
        <f>ROUND((5090*$T$1),0)*1.05</f>
        <v>5344.5</v>
      </c>
      <c r="P1337" s="49">
        <f>ROUND((5268*$T$1),0)*1.05</f>
        <v>5531.4000000000005</v>
      </c>
      <c r="Q1337" s="49">
        <f>ROUND((5446*$T$1),0)*1.05</f>
        <v>5718.3</v>
      </c>
    </row>
    <row r="1338" spans="1:19" ht="15" customHeight="1" x14ac:dyDescent="0.3">
      <c r="A1338" s="42"/>
      <c r="B1338" s="43"/>
      <c r="C1338" s="44"/>
      <c r="D1338" s="45"/>
      <c r="E1338" s="46"/>
      <c r="F1338" s="47"/>
      <c r="G1338" s="46"/>
      <c r="H1338" s="47"/>
      <c r="I1338" s="48"/>
      <c r="J1338" s="49"/>
      <c r="K1338" s="49"/>
      <c r="L1338" s="49"/>
      <c r="M1338" s="49"/>
      <c r="N1338" s="49"/>
      <c r="O1338" s="49"/>
      <c r="P1338" s="49"/>
      <c r="Q1338" s="49"/>
    </row>
    <row r="1339" spans="1:19" ht="15" customHeight="1" x14ac:dyDescent="0.3">
      <c r="A1339" s="42"/>
      <c r="B1339" s="126" t="s">
        <v>418</v>
      </c>
      <c r="C1339" s="98"/>
      <c r="D1339" s="99"/>
      <c r="E1339" s="99"/>
      <c r="F1339" s="99"/>
      <c r="G1339" s="99"/>
      <c r="H1339" s="99"/>
      <c r="I1339" s="100"/>
      <c r="J1339" s="101"/>
      <c r="K1339" s="101"/>
      <c r="L1339" s="101"/>
      <c r="M1339" s="101"/>
      <c r="N1339" s="101"/>
      <c r="O1339" s="101"/>
      <c r="P1339" s="101"/>
      <c r="Q1339" s="101"/>
    </row>
    <row r="1340" spans="1:19" ht="15" customHeight="1" x14ac:dyDescent="0.3">
      <c r="A1340" s="42"/>
      <c r="B1340" s="97"/>
      <c r="C1340" s="98"/>
      <c r="D1340" s="99"/>
      <c r="E1340" s="99"/>
      <c r="F1340" s="99"/>
      <c r="G1340" s="99"/>
      <c r="H1340" s="99"/>
      <c r="I1340" s="100"/>
      <c r="J1340" s="101"/>
      <c r="K1340" s="101"/>
      <c r="L1340" s="101"/>
      <c r="M1340" s="87"/>
      <c r="N1340" s="101"/>
      <c r="O1340" s="101"/>
      <c r="P1340" s="101"/>
      <c r="Q1340" s="101"/>
    </row>
    <row r="1341" spans="1:19" ht="15" customHeight="1" x14ac:dyDescent="0.3">
      <c r="A1341" s="42"/>
      <c r="B1341" s="59"/>
      <c r="C1341" s="59" t="s">
        <v>511</v>
      </c>
      <c r="D1341" s="59"/>
      <c r="E1341" s="59"/>
      <c r="F1341" s="59"/>
      <c r="G1341" s="59"/>
      <c r="H1341" s="59"/>
      <c r="I1341" s="61"/>
      <c r="J1341" s="62"/>
      <c r="K1341" s="62"/>
      <c r="L1341" s="62"/>
      <c r="M1341" s="62"/>
      <c r="N1341" s="62"/>
      <c r="O1341" s="62"/>
      <c r="P1341" s="62"/>
      <c r="Q1341" s="62"/>
    </row>
    <row r="1343" spans="1:19" ht="29.1" customHeight="1" x14ac:dyDescent="0.25">
      <c r="A1343" s="127" t="s">
        <v>783</v>
      </c>
      <c r="B1343" s="77"/>
      <c r="C1343" s="187" t="s">
        <v>41</v>
      </c>
      <c r="D1343" s="187"/>
      <c r="E1343" s="187"/>
      <c r="F1343" s="187"/>
      <c r="G1343" s="187"/>
      <c r="H1343" s="187"/>
      <c r="I1343" s="78" t="s">
        <v>42</v>
      </c>
      <c r="J1343" s="41" t="s">
        <v>43</v>
      </c>
      <c r="K1343" s="41">
        <v>1000</v>
      </c>
      <c r="L1343" s="41">
        <v>2000</v>
      </c>
      <c r="M1343" s="41">
        <v>3000</v>
      </c>
      <c r="N1343" s="41">
        <v>4000</v>
      </c>
      <c r="O1343" s="41">
        <v>5000</v>
      </c>
      <c r="P1343" s="41">
        <v>6000</v>
      </c>
      <c r="Q1343" s="41">
        <v>7000</v>
      </c>
    </row>
    <row r="1344" spans="1:19" ht="15" customHeight="1" x14ac:dyDescent="0.3">
      <c r="A1344" s="42"/>
      <c r="B1344" s="43" t="s">
        <v>784</v>
      </c>
      <c r="C1344" s="44" t="s">
        <v>45</v>
      </c>
      <c r="D1344" s="45" t="s">
        <v>58</v>
      </c>
      <c r="E1344" s="46" t="s">
        <v>47</v>
      </c>
      <c r="F1344" s="47">
        <v>1</v>
      </c>
      <c r="G1344" s="46" t="s">
        <v>48</v>
      </c>
      <c r="H1344" s="47">
        <v>0.98</v>
      </c>
      <c r="I1344" s="48">
        <v>5</v>
      </c>
      <c r="J1344" s="49">
        <f>ROUND((3053*$T$1),0)*1.05</f>
        <v>3205.65</v>
      </c>
      <c r="K1344" s="49">
        <f>ROUND((3249*$T$1),0)*1.05</f>
        <v>3411.4500000000003</v>
      </c>
      <c r="L1344" s="49">
        <f>ROUND((3574*$T$1),0)*1.05</f>
        <v>3752.7000000000003</v>
      </c>
      <c r="M1344" s="49">
        <f>ROUND((3931*$T$1),0)*1.05</f>
        <v>4127.55</v>
      </c>
      <c r="N1344" s="49">
        <f>ROUND((4625*$T$1),0)*1.05</f>
        <v>4856.25</v>
      </c>
      <c r="O1344" s="49">
        <f>ROUND((4757*$T$1),0)*1.05</f>
        <v>4994.8500000000004</v>
      </c>
      <c r="P1344" s="49">
        <f>ROUND((5189*$T$1),0)*1.05</f>
        <v>5448.45</v>
      </c>
      <c r="Q1344" s="49">
        <f>ROUND((5621*$T$1),0)*1.05</f>
        <v>5902.05</v>
      </c>
      <c r="R1344" s="33"/>
      <c r="S1344" s="33"/>
    </row>
    <row r="1345" spans="1:19" ht="15" customHeight="1" x14ac:dyDescent="0.3">
      <c r="A1345" s="42"/>
      <c r="B1345" s="43" t="s">
        <v>785</v>
      </c>
      <c r="C1345" s="44" t="s">
        <v>45</v>
      </c>
      <c r="D1345" s="45" t="s">
        <v>81</v>
      </c>
      <c r="E1345" s="46" t="s">
        <v>47</v>
      </c>
      <c r="F1345" s="47">
        <v>1</v>
      </c>
      <c r="G1345" s="46" t="s">
        <v>48</v>
      </c>
      <c r="H1345" s="47">
        <v>0.98</v>
      </c>
      <c r="I1345" s="48">
        <v>5.5</v>
      </c>
      <c r="J1345" s="49">
        <f>ROUND((3563*$T$1),0)*1.05</f>
        <v>3741.15</v>
      </c>
      <c r="K1345" s="49">
        <f>ROUND((3791*$T$1),0)*1.05</f>
        <v>3980.55</v>
      </c>
      <c r="L1345" s="49">
        <f>ROUND((4169*$T$1),0)*1.05</f>
        <v>4377.45</v>
      </c>
      <c r="M1345" s="49">
        <f>ROUND((4587*$T$1),0)*1.05</f>
        <v>4816.3500000000004</v>
      </c>
      <c r="N1345" s="49">
        <f>ROUND((5046*$T$1),0)*1.05</f>
        <v>5298.3</v>
      </c>
      <c r="O1345" s="49">
        <f>ROUND((5549*$T$1),0)*1.05</f>
        <v>5826.45</v>
      </c>
      <c r="P1345" s="49">
        <f>ROUND((6052*$T$1),0)*1.05</f>
        <v>6354.6</v>
      </c>
      <c r="Q1345" s="49">
        <f>ROUND((6555*$T$1),0)*1.05</f>
        <v>6882.75</v>
      </c>
      <c r="R1345" s="33"/>
      <c r="S1345" s="33"/>
    </row>
    <row r="1346" spans="1:19" ht="15" customHeight="1" x14ac:dyDescent="0.3">
      <c r="A1346" s="42"/>
      <c r="B1346" s="43" t="s">
        <v>786</v>
      </c>
      <c r="C1346" s="44" t="s">
        <v>45</v>
      </c>
      <c r="D1346" s="45" t="s">
        <v>77</v>
      </c>
      <c r="E1346" s="46" t="s">
        <v>47</v>
      </c>
      <c r="F1346" s="47">
        <v>1</v>
      </c>
      <c r="G1346" s="46" t="s">
        <v>48</v>
      </c>
      <c r="H1346" s="47">
        <v>0.98</v>
      </c>
      <c r="I1346" s="48">
        <v>6</v>
      </c>
      <c r="J1346" s="49">
        <f>ROUND((4072*$T$1),0)*1.05</f>
        <v>4275.6000000000004</v>
      </c>
      <c r="K1346" s="49">
        <f>ROUND((4432*$T$1),0)*1.05</f>
        <v>4653.6000000000004</v>
      </c>
      <c r="L1346" s="49">
        <f>ROUND((4765*$T$1),0)*1.05</f>
        <v>5003.25</v>
      </c>
      <c r="M1346" s="49">
        <f>ROUND((5242*$T$1),0)*1.05</f>
        <v>5504.1</v>
      </c>
      <c r="N1346" s="49">
        <f>ROUND((5766*$T$1),0)*1.05</f>
        <v>6054.3</v>
      </c>
      <c r="O1346" s="49">
        <f>ROUND((6343*$T$1),0)*1.05</f>
        <v>6660.1500000000005</v>
      </c>
      <c r="P1346" s="49">
        <f>ROUND((6920*$T$1),0)*1.05</f>
        <v>7266</v>
      </c>
      <c r="Q1346" s="49">
        <f>ROUND((7497*$T$1),0)*1.05</f>
        <v>7871.85</v>
      </c>
      <c r="R1346" s="33"/>
      <c r="S1346" s="33"/>
    </row>
    <row r="1347" spans="1:19" ht="15" customHeight="1" x14ac:dyDescent="0.3">
      <c r="A1347" s="42"/>
      <c r="B1347" s="43" t="s">
        <v>787</v>
      </c>
      <c r="C1347" s="44" t="s">
        <v>45</v>
      </c>
      <c r="D1347" s="45" t="s">
        <v>387</v>
      </c>
      <c r="E1347" s="46" t="s">
        <v>47</v>
      </c>
      <c r="F1347" s="47">
        <v>1</v>
      </c>
      <c r="G1347" s="46" t="s">
        <v>48</v>
      </c>
      <c r="H1347" s="47">
        <v>0.98</v>
      </c>
      <c r="I1347" s="48">
        <v>7</v>
      </c>
      <c r="J1347" s="49">
        <f>ROUND((4581*$T$1),0)*1.05</f>
        <v>4810.05</v>
      </c>
      <c r="K1347" s="49">
        <f>ROUND((4873*$T$1),0)*1.05</f>
        <v>5116.6500000000005</v>
      </c>
      <c r="L1347" s="49">
        <f>ROUND((5362*$T$1),0)*1.05</f>
        <v>5630.1</v>
      </c>
      <c r="M1347" s="49">
        <f>ROUND((5897*$T$1),0)*1.05</f>
        <v>6191.85</v>
      </c>
      <c r="N1347" s="49">
        <f>ROUND((6487*$T$1),0)*1.05</f>
        <v>6811.35</v>
      </c>
      <c r="O1347" s="49">
        <f>ROUND((7135*$T$1),0)*1.05</f>
        <v>7491.75</v>
      </c>
      <c r="P1347" s="49">
        <f>ROUND((7783*$T$1),0)*1.05</f>
        <v>8172.1500000000005</v>
      </c>
      <c r="Q1347" s="49">
        <f>ROUND((8431*$T$1),0)*1.05</f>
        <v>8852.5500000000011</v>
      </c>
      <c r="R1347" s="33"/>
      <c r="S1347" s="33"/>
    </row>
    <row r="1348" spans="1:19" ht="15" customHeight="1" x14ac:dyDescent="0.3">
      <c r="A1348" s="42"/>
      <c r="B1348" s="43"/>
      <c r="C1348" s="44"/>
      <c r="D1348" s="45"/>
      <c r="E1348" s="46"/>
      <c r="F1348" s="47"/>
      <c r="G1348" s="46"/>
      <c r="H1348" s="47"/>
      <c r="I1348" s="48"/>
      <c r="J1348" s="49"/>
      <c r="K1348" s="49"/>
      <c r="L1348" s="49"/>
      <c r="M1348" s="49"/>
      <c r="N1348" s="49"/>
      <c r="O1348" s="49"/>
      <c r="P1348" s="49"/>
      <c r="Q1348" s="49"/>
      <c r="R1348" s="33"/>
      <c r="S1348" s="33"/>
    </row>
    <row r="1349" spans="1:19" ht="15" customHeight="1" x14ac:dyDescent="0.3">
      <c r="A1349" s="42"/>
      <c r="B1349" s="43" t="s">
        <v>788</v>
      </c>
      <c r="C1349" s="44" t="s">
        <v>45</v>
      </c>
      <c r="D1349" s="45" t="s">
        <v>387</v>
      </c>
      <c r="E1349" s="46" t="s">
        <v>47</v>
      </c>
      <c r="F1349" s="47">
        <v>1</v>
      </c>
      <c r="G1349" s="46" t="s">
        <v>48</v>
      </c>
      <c r="H1349" s="47">
        <v>0.98</v>
      </c>
      <c r="I1349" s="48">
        <v>7</v>
      </c>
      <c r="J1349" s="49">
        <f>ROUND((3598*$T$1),0)*1.05</f>
        <v>3777.9</v>
      </c>
      <c r="K1349" s="49">
        <f>ROUND((3827*$T$1),0)*1.05</f>
        <v>4018.3500000000004</v>
      </c>
      <c r="L1349" s="49">
        <f>ROUND((4210*$T$1),0)*1.05</f>
        <v>4420.5</v>
      </c>
      <c r="M1349" s="49">
        <f>ROUND((4630*$T$1),0)*1.05</f>
        <v>4861.5</v>
      </c>
      <c r="N1349" s="49">
        <f>ROUND((5095*$T$1),0)*1.05</f>
        <v>5349.75</v>
      </c>
      <c r="O1349" s="49">
        <f>ROUND((5604*$T$1),0)*1.05</f>
        <v>5884.2</v>
      </c>
      <c r="P1349" s="49">
        <f>ROUND((6113*$T$1),0)*1.05</f>
        <v>6418.6500000000005</v>
      </c>
      <c r="Q1349" s="49">
        <f>ROUND((6622*$T$1),0)*1.05</f>
        <v>6953.1</v>
      </c>
      <c r="R1349" s="33"/>
      <c r="S1349" s="33"/>
    </row>
    <row r="1350" spans="1:19" ht="15" customHeight="1" x14ac:dyDescent="0.3">
      <c r="A1350" s="42"/>
      <c r="B1350" s="43" t="s">
        <v>789</v>
      </c>
      <c r="C1350" s="44" t="s">
        <v>45</v>
      </c>
      <c r="D1350" s="45" t="s">
        <v>513</v>
      </c>
      <c r="E1350" s="46" t="s">
        <v>47</v>
      </c>
      <c r="F1350" s="47">
        <v>1</v>
      </c>
      <c r="G1350" s="46" t="s">
        <v>48</v>
      </c>
      <c r="H1350" s="47">
        <v>0.98</v>
      </c>
      <c r="I1350" s="48">
        <v>7.5</v>
      </c>
      <c r="J1350" s="49">
        <f>ROUND((3997*$T$1),0)*1.05</f>
        <v>4196.8500000000004</v>
      </c>
      <c r="K1350" s="49">
        <f>ROUND((4252*$T$1),0)*1.05</f>
        <v>4464.6000000000004</v>
      </c>
      <c r="L1350" s="49">
        <f>ROUND((4678*$T$1),0)*1.05</f>
        <v>4911.9000000000005</v>
      </c>
      <c r="M1350" s="49">
        <f>ROUND((5146*$T$1),0)*1.05</f>
        <v>5403.3</v>
      </c>
      <c r="N1350" s="49">
        <f>ROUND((5659*$T$1),0)*1.05</f>
        <v>5941.95</v>
      </c>
      <c r="O1350" s="49">
        <f>ROUND((6226*$T$1),0)*1.05</f>
        <v>6537.3</v>
      </c>
      <c r="P1350" s="49">
        <f>ROUND((6793*$T$1),0)*1.05</f>
        <v>7132.6500000000005</v>
      </c>
      <c r="Q1350" s="49">
        <f>ROUND((7360*$T$1),0)*1.05</f>
        <v>7728</v>
      </c>
      <c r="R1350" s="33"/>
      <c r="S1350" s="33"/>
    </row>
    <row r="1351" spans="1:19" ht="15" customHeight="1" x14ac:dyDescent="0.3">
      <c r="A1351" s="42"/>
      <c r="B1351" s="43" t="s">
        <v>790</v>
      </c>
      <c r="C1351" s="44" t="s">
        <v>45</v>
      </c>
      <c r="D1351" s="45" t="s">
        <v>481</v>
      </c>
      <c r="E1351" s="46" t="s">
        <v>47</v>
      </c>
      <c r="F1351" s="47">
        <v>1</v>
      </c>
      <c r="G1351" s="46" t="s">
        <v>48</v>
      </c>
      <c r="H1351" s="47">
        <v>0.98</v>
      </c>
      <c r="I1351" s="48">
        <v>8</v>
      </c>
      <c r="J1351" s="49">
        <f>ROUND((4397*$T$1),0)*1.05</f>
        <v>4616.8500000000004</v>
      </c>
      <c r="K1351" s="49">
        <f>ROUND((4678*$T$1),0)*1.05</f>
        <v>4911.9000000000005</v>
      </c>
      <c r="L1351" s="49">
        <f>ROUND((5146*$T$1),0)*1.05</f>
        <v>5403.3</v>
      </c>
      <c r="M1351" s="49">
        <f>ROUND((5659*$T$1),0)*1.05</f>
        <v>5941.95</v>
      </c>
      <c r="N1351" s="49">
        <f>ROUND((6226*$T$1),0)*1.05</f>
        <v>6537.3</v>
      </c>
      <c r="O1351" s="49">
        <f>ROUND((6847*$T$1),0)*1.05</f>
        <v>7189.35</v>
      </c>
      <c r="P1351" s="49">
        <f>ROUND((7468*$T$1),0)*1.05</f>
        <v>7841.4000000000005</v>
      </c>
      <c r="Q1351" s="49">
        <f>ROUND((8089*$T$1),0)*1.05</f>
        <v>8493.4500000000007</v>
      </c>
      <c r="R1351" s="33"/>
      <c r="S1351" s="33"/>
    </row>
    <row r="1352" spans="1:19" ht="15" customHeight="1" x14ac:dyDescent="0.3">
      <c r="A1352" s="42"/>
      <c r="B1352" s="43" t="s">
        <v>791</v>
      </c>
      <c r="C1352" s="44" t="s">
        <v>45</v>
      </c>
      <c r="D1352" s="45" t="s">
        <v>479</v>
      </c>
      <c r="E1352" s="46" t="s">
        <v>47</v>
      </c>
      <c r="F1352" s="47">
        <v>1</v>
      </c>
      <c r="G1352" s="46" t="s">
        <v>48</v>
      </c>
      <c r="H1352" s="47">
        <v>0.98</v>
      </c>
      <c r="I1352" s="48">
        <v>9</v>
      </c>
      <c r="J1352" s="49">
        <f>ROUND((4797*$T$1),0)*1.05</f>
        <v>5036.8500000000004</v>
      </c>
      <c r="K1352" s="49">
        <f>ROUND((5103*$T$1),0)*1.05</f>
        <v>5358.1500000000005</v>
      </c>
      <c r="L1352" s="49">
        <f>ROUND((5614*$T$1),0)*1.05</f>
        <v>5894.7</v>
      </c>
      <c r="M1352" s="49">
        <f>ROUND((6175*$T$1),0)*1.05</f>
        <v>6483.75</v>
      </c>
      <c r="N1352" s="49">
        <f>ROUND((6792*$T$1),0)*1.05</f>
        <v>7131.6</v>
      </c>
      <c r="O1352" s="49">
        <f>ROUND((7471*$T$1),0)*1.05</f>
        <v>7844.55</v>
      </c>
      <c r="P1352" s="49">
        <f>ROUND((8150*$T$1),0)*1.05</f>
        <v>8557.5</v>
      </c>
      <c r="Q1352" s="49">
        <f>ROUND((8829*$T$1),0)*1.05</f>
        <v>9270.4500000000007</v>
      </c>
      <c r="R1352" s="33"/>
      <c r="S1352" s="33"/>
    </row>
    <row r="1353" spans="1:19" ht="15" customHeight="1" x14ac:dyDescent="0.3">
      <c r="A1353" s="42"/>
      <c r="B1353" s="43"/>
      <c r="C1353" s="44"/>
      <c r="D1353" s="45"/>
      <c r="E1353" s="46"/>
      <c r="F1353" s="47"/>
      <c r="G1353" s="46"/>
      <c r="H1353" s="47"/>
      <c r="I1353" s="48"/>
      <c r="J1353" s="49"/>
      <c r="K1353" s="49"/>
      <c r="L1353" s="49"/>
      <c r="M1353" s="49"/>
      <c r="N1353" s="49"/>
      <c r="O1353" s="49"/>
      <c r="P1353" s="49"/>
      <c r="Q1353" s="49"/>
      <c r="R1353" s="33"/>
      <c r="S1353" s="33"/>
    </row>
    <row r="1354" spans="1:19" ht="15" customHeight="1" x14ac:dyDescent="0.3">
      <c r="A1354" s="42"/>
      <c r="B1354" s="43" t="s">
        <v>792</v>
      </c>
      <c r="C1354" s="44" t="s">
        <v>45</v>
      </c>
      <c r="D1354" s="45" t="s">
        <v>62</v>
      </c>
      <c r="E1354" s="46" t="s">
        <v>47</v>
      </c>
      <c r="F1354" s="47">
        <v>1</v>
      </c>
      <c r="G1354" s="46" t="s">
        <v>48</v>
      </c>
      <c r="H1354" s="47">
        <v>0.45</v>
      </c>
      <c r="I1354" s="48">
        <v>2.5</v>
      </c>
      <c r="J1354" s="49">
        <f>ROUND((1422*$T$1),0)*1.05</f>
        <v>1493.1000000000001</v>
      </c>
      <c r="K1354" s="49">
        <f>ROUND((1513*$T$1),0)*1.05</f>
        <v>1588.65</v>
      </c>
      <c r="L1354" s="49">
        <f>ROUND((1664*$T$1),0)*1.05</f>
        <v>1747.2</v>
      </c>
      <c r="M1354" s="49">
        <f>ROUND((1831*$T$1),0)*1.05</f>
        <v>1922.5500000000002</v>
      </c>
      <c r="N1354" s="49">
        <f>ROUND((2014*$T$1),0)*1.05</f>
        <v>2114.7000000000003</v>
      </c>
      <c r="O1354" s="49">
        <f>ROUND((2215*$T$1),0)*1.05</f>
        <v>2325.75</v>
      </c>
      <c r="P1354" s="49">
        <f>ROUND((2416*$T$1),0)*1.05</f>
        <v>2536.8000000000002</v>
      </c>
      <c r="Q1354" s="49">
        <f>ROUND((2617*$T$1),0)*1.05</f>
        <v>2747.85</v>
      </c>
      <c r="R1354" s="33"/>
      <c r="S1354" s="33"/>
    </row>
    <row r="1355" spans="1:19" ht="15" customHeight="1" x14ac:dyDescent="0.3">
      <c r="A1355" s="42"/>
      <c r="B1355" s="43" t="s">
        <v>793</v>
      </c>
      <c r="C1355" s="44" t="s">
        <v>45</v>
      </c>
      <c r="D1355" s="45" t="s">
        <v>60</v>
      </c>
      <c r="E1355" s="46" t="s">
        <v>47</v>
      </c>
      <c r="F1355" s="47">
        <v>1.1000000000000001</v>
      </c>
      <c r="G1355" s="46" t="s">
        <v>48</v>
      </c>
      <c r="H1355" s="47">
        <v>0.45</v>
      </c>
      <c r="I1355" s="48">
        <v>3</v>
      </c>
      <c r="J1355" s="49">
        <f>ROUND((1564*$T$1),0)*1.05</f>
        <v>1642.2</v>
      </c>
      <c r="K1355" s="49">
        <f>ROUND((1664*$T$1),0)*1.05</f>
        <v>1747.2</v>
      </c>
      <c r="L1355" s="49">
        <f>ROUND((1831*$T$1),0)*1.05</f>
        <v>1922.5500000000002</v>
      </c>
      <c r="M1355" s="49">
        <f>ROUND((2014*$T$1),0)*1.05</f>
        <v>2114.7000000000003</v>
      </c>
      <c r="N1355" s="49">
        <f>ROUND((2215*$T$1),0)*1.05</f>
        <v>2325.75</v>
      </c>
      <c r="O1355" s="49">
        <f>ROUND((2437*$T$1),0)*1.05</f>
        <v>2558.85</v>
      </c>
      <c r="P1355" s="49">
        <f>ROUND((2659*$T$1),0)*1.05</f>
        <v>2791.9500000000003</v>
      </c>
      <c r="Q1355" s="49">
        <f>ROUND((2881*$T$1),0)*1.05</f>
        <v>3025.05</v>
      </c>
      <c r="R1355" s="33"/>
      <c r="S1355" s="33"/>
    </row>
    <row r="1356" spans="1:19" ht="15" customHeight="1" x14ac:dyDescent="0.3">
      <c r="A1356" s="42"/>
      <c r="B1356" s="43" t="s">
        <v>794</v>
      </c>
      <c r="C1356" s="44" t="s">
        <v>45</v>
      </c>
      <c r="D1356" s="45" t="s">
        <v>58</v>
      </c>
      <c r="E1356" s="46" t="s">
        <v>47</v>
      </c>
      <c r="F1356" s="47">
        <v>1.2</v>
      </c>
      <c r="G1356" s="46" t="s">
        <v>48</v>
      </c>
      <c r="H1356" s="47">
        <v>0.45</v>
      </c>
      <c r="I1356" s="48">
        <v>3.5</v>
      </c>
      <c r="J1356" s="49">
        <f>ROUND((1707*$T$1),0)*1.05</f>
        <v>1792.3500000000001</v>
      </c>
      <c r="K1356" s="49">
        <f>ROUND((1816*$T$1),0)*1.05</f>
        <v>1906.8000000000002</v>
      </c>
      <c r="L1356" s="49">
        <f>ROUND((1998*$T$1),0)*1.05</f>
        <v>2097.9</v>
      </c>
      <c r="M1356" s="49">
        <f>ROUND((2197*$T$1),0)*1.05</f>
        <v>2306.85</v>
      </c>
      <c r="N1356" s="49">
        <f>ROUND((2417*$T$1),0)*1.05</f>
        <v>2537.85</v>
      </c>
      <c r="O1356" s="49">
        <f>ROUND((2659*$T$1),0)*1.05</f>
        <v>2791.9500000000003</v>
      </c>
      <c r="P1356" s="49">
        <f>ROUND((2901*$T$1),0)*1.05</f>
        <v>3046.05</v>
      </c>
      <c r="Q1356" s="49">
        <f>ROUND((3143*$T$1),0)*1.05</f>
        <v>3300.15</v>
      </c>
      <c r="R1356" s="33"/>
      <c r="S1356" s="33"/>
    </row>
    <row r="1357" spans="1:19" ht="15" customHeight="1" x14ac:dyDescent="0.3">
      <c r="A1357" s="42"/>
      <c r="B1357" s="43" t="s">
        <v>795</v>
      </c>
      <c r="C1357" s="44" t="s">
        <v>45</v>
      </c>
      <c r="D1357" s="45" t="s">
        <v>83</v>
      </c>
      <c r="E1357" s="46" t="s">
        <v>47</v>
      </c>
      <c r="F1357" s="47">
        <v>1.3</v>
      </c>
      <c r="G1357" s="46" t="s">
        <v>48</v>
      </c>
      <c r="H1357" s="47">
        <v>0.45</v>
      </c>
      <c r="I1357" s="48">
        <v>4</v>
      </c>
      <c r="J1357" s="49">
        <f>ROUND((1849*$T$1),0)*1.05</f>
        <v>1941.45</v>
      </c>
      <c r="K1357" s="49">
        <f>ROUND((1966*$T$1),0)*1.05</f>
        <v>2064.3000000000002</v>
      </c>
      <c r="L1357" s="49">
        <f>ROUND((2164*$T$1),0)*1.05</f>
        <v>2272.2000000000003</v>
      </c>
      <c r="M1357" s="49">
        <f>ROUND((2381*$T$1),0)*1.05</f>
        <v>2500.0500000000002</v>
      </c>
      <c r="N1357" s="49">
        <f>ROUND((2618*$T$1),0)*1.05</f>
        <v>2748.9</v>
      </c>
      <c r="O1357" s="49">
        <f>ROUND((2881*$T$1),0)*1.05</f>
        <v>3025.05</v>
      </c>
      <c r="P1357" s="49">
        <f>ROUND((3144*$T$1),0)*1.05</f>
        <v>3301.2000000000003</v>
      </c>
      <c r="Q1357" s="49">
        <f>ROUND((3407*$T$1),0)*1.05</f>
        <v>3577.3500000000004</v>
      </c>
      <c r="R1357" s="33"/>
      <c r="S1357" s="33"/>
    </row>
    <row r="1358" spans="1:19" ht="15" customHeight="1" x14ac:dyDescent="0.3">
      <c r="A1358" s="42"/>
      <c r="B1358" s="97"/>
      <c r="C1358" s="98"/>
      <c r="D1358" s="99"/>
      <c r="E1358" s="99"/>
      <c r="F1358" s="99"/>
      <c r="G1358" s="99"/>
      <c r="H1358" s="99"/>
      <c r="I1358" s="100"/>
      <c r="J1358" s="101"/>
      <c r="K1358" s="101"/>
      <c r="L1358" s="101"/>
      <c r="M1358" s="101"/>
      <c r="N1358" s="101"/>
      <c r="O1358" s="101"/>
      <c r="P1358" s="101"/>
      <c r="Q1358" s="101"/>
    </row>
    <row r="1359" spans="1:19" ht="15" customHeight="1" x14ac:dyDescent="0.3">
      <c r="A1359" s="42"/>
      <c r="B1359" s="126" t="s">
        <v>418</v>
      </c>
      <c r="C1359" s="98"/>
      <c r="D1359" s="99"/>
      <c r="E1359" s="99"/>
      <c r="F1359" s="99"/>
      <c r="G1359" s="99"/>
      <c r="H1359" s="99"/>
      <c r="I1359" s="100"/>
      <c r="J1359" s="101"/>
      <c r="K1359" s="101"/>
      <c r="L1359" s="101"/>
      <c r="M1359" s="101"/>
      <c r="N1359" s="101"/>
      <c r="O1359" s="101"/>
      <c r="P1359" s="101"/>
      <c r="Q1359" s="101"/>
    </row>
    <row r="1360" spans="1:19" ht="15" customHeight="1" x14ac:dyDescent="0.3">
      <c r="A1360" s="42"/>
      <c r="B1360" s="97"/>
      <c r="C1360" s="98"/>
      <c r="D1360" s="99"/>
      <c r="E1360" s="99"/>
      <c r="F1360" s="99"/>
      <c r="G1360" s="99"/>
      <c r="H1360" s="99"/>
      <c r="I1360" s="100"/>
      <c r="J1360" s="101"/>
      <c r="K1360" s="101"/>
      <c r="L1360" s="101"/>
      <c r="M1360" s="101"/>
      <c r="N1360" s="101"/>
      <c r="O1360" s="101"/>
      <c r="P1360" s="101"/>
      <c r="Q1360" s="101"/>
    </row>
    <row r="1361" spans="1:21" ht="15" customHeight="1" x14ac:dyDescent="0.3">
      <c r="A1361" s="42"/>
      <c r="B1361" s="59"/>
      <c r="C1361" s="59" t="s">
        <v>511</v>
      </c>
      <c r="D1361" s="59"/>
      <c r="E1361" s="59"/>
      <c r="F1361" s="59"/>
      <c r="G1361" s="59"/>
      <c r="H1361" s="59"/>
      <c r="I1361" s="61"/>
      <c r="J1361" s="62"/>
      <c r="K1361" s="62"/>
      <c r="L1361" s="62"/>
      <c r="M1361" s="62"/>
      <c r="N1361" s="62"/>
      <c r="O1361" s="62"/>
      <c r="P1361" s="62"/>
      <c r="Q1361" s="62"/>
    </row>
    <row r="1363" spans="1:21" ht="29.1" customHeight="1" x14ac:dyDescent="0.25">
      <c r="A1363" s="127" t="s">
        <v>796</v>
      </c>
      <c r="B1363" s="77"/>
      <c r="C1363" s="187" t="s">
        <v>41</v>
      </c>
      <c r="D1363" s="187"/>
      <c r="E1363" s="187"/>
      <c r="F1363" s="187"/>
      <c r="G1363" s="187"/>
      <c r="H1363" s="187"/>
      <c r="I1363" s="78" t="s">
        <v>42</v>
      </c>
      <c r="J1363" s="41" t="s">
        <v>43</v>
      </c>
      <c r="K1363" s="41">
        <v>1000</v>
      </c>
      <c r="L1363" s="41">
        <v>2000</v>
      </c>
      <c r="M1363" s="41">
        <v>3000</v>
      </c>
      <c r="N1363" s="41">
        <v>4000</v>
      </c>
      <c r="O1363" s="41">
        <v>5000</v>
      </c>
      <c r="P1363" s="41">
        <v>6000</v>
      </c>
      <c r="Q1363" s="41">
        <v>7000</v>
      </c>
    </row>
    <row r="1364" spans="1:21" ht="15" customHeight="1" x14ac:dyDescent="0.3">
      <c r="A1364" s="42"/>
      <c r="B1364" s="43" t="s">
        <v>797</v>
      </c>
      <c r="C1364" s="44" t="s">
        <v>45</v>
      </c>
      <c r="D1364" s="45" t="s">
        <v>668</v>
      </c>
      <c r="E1364" s="46" t="s">
        <v>47</v>
      </c>
      <c r="F1364" s="47">
        <v>1.35</v>
      </c>
      <c r="G1364" s="46" t="s">
        <v>48</v>
      </c>
      <c r="H1364" s="47">
        <v>0.45</v>
      </c>
      <c r="I1364" s="48">
        <v>6</v>
      </c>
      <c r="J1364" s="49">
        <f>ROUND((4540*$T$1),0)*1.05</f>
        <v>4767</v>
      </c>
      <c r="K1364" s="49">
        <f>ROUND((4830*$T$1),0)*1.05</f>
        <v>5071.5</v>
      </c>
      <c r="L1364" s="49">
        <f>ROUND((4953*$T$1),0)*1.05</f>
        <v>5200.6500000000005</v>
      </c>
      <c r="M1364" s="49">
        <f>ROUND((5077*$T$1),0)*1.05</f>
        <v>5330.85</v>
      </c>
      <c r="N1364" s="49">
        <f>ROUND((5199*$T$1),0)*1.05</f>
        <v>5458.95</v>
      </c>
      <c r="O1364" s="49">
        <f>ROUND((5322*$T$1),0)*1.05</f>
        <v>5588.1</v>
      </c>
      <c r="P1364" s="49">
        <f>ROUND((5445*$T$1),0)*1.05</f>
        <v>5717.25</v>
      </c>
      <c r="Q1364" s="49">
        <f>ROUND((5568*$T$1),0)*1.05</f>
        <v>5846.4000000000005</v>
      </c>
      <c r="R1364" s="33"/>
      <c r="S1364" s="33"/>
      <c r="T1364" s="33"/>
      <c r="U1364" s="33"/>
    </row>
    <row r="1365" spans="1:21" ht="15" customHeight="1" x14ac:dyDescent="0.3">
      <c r="A1365" s="42"/>
      <c r="B1365" s="43"/>
      <c r="C1365" s="44"/>
      <c r="D1365" s="45"/>
      <c r="E1365" s="46"/>
      <c r="F1365" s="47"/>
      <c r="G1365" s="46"/>
      <c r="H1365" s="47"/>
      <c r="I1365" s="48"/>
      <c r="J1365" s="49"/>
      <c r="K1365" s="49"/>
      <c r="L1365" s="49"/>
      <c r="M1365" s="49"/>
      <c r="N1365" s="49"/>
      <c r="O1365" s="49"/>
      <c r="P1365" s="49"/>
      <c r="Q1365" s="49"/>
    </row>
    <row r="1366" spans="1:21" ht="15" customHeight="1" x14ac:dyDescent="0.3">
      <c r="A1366" s="42"/>
      <c r="B1366" s="43"/>
      <c r="C1366" s="44"/>
      <c r="D1366" s="45"/>
      <c r="E1366" s="46"/>
      <c r="F1366" s="47"/>
      <c r="G1366" s="46"/>
      <c r="H1366" s="47"/>
      <c r="I1366" s="48"/>
      <c r="J1366" s="49"/>
      <c r="K1366" s="49"/>
      <c r="L1366" s="49"/>
      <c r="M1366" s="49"/>
      <c r="N1366" s="49"/>
      <c r="O1366" s="49"/>
      <c r="P1366" s="49"/>
      <c r="Q1366" s="49"/>
    </row>
    <row r="1367" spans="1:21" ht="15" customHeight="1" x14ac:dyDescent="0.3">
      <c r="A1367" s="42"/>
      <c r="B1367" s="43" t="s">
        <v>798</v>
      </c>
      <c r="C1367" s="44" t="s">
        <v>45</v>
      </c>
      <c r="D1367" s="45" t="s">
        <v>668</v>
      </c>
      <c r="E1367" s="46" t="s">
        <v>47</v>
      </c>
      <c r="F1367" s="47">
        <v>1.35</v>
      </c>
      <c r="G1367" s="46" t="s">
        <v>48</v>
      </c>
      <c r="H1367" s="47">
        <v>0.45</v>
      </c>
      <c r="I1367" s="48">
        <v>5.5</v>
      </c>
      <c r="J1367" s="49">
        <f>ROUND((4086*$T$1),0)*1.05</f>
        <v>4290.3</v>
      </c>
      <c r="K1367" s="49">
        <f>ROUND((4347*$T$1),0)*1.05</f>
        <v>4564.3500000000004</v>
      </c>
      <c r="L1367" s="49">
        <f>ROUND((4457*$T$1),0)*1.05</f>
        <v>4679.8500000000004</v>
      </c>
      <c r="M1367" s="49">
        <f>ROUND((4569*$T$1),0)*1.05</f>
        <v>4797.45</v>
      </c>
      <c r="N1367" s="49">
        <f>ROUND((4679*$T$1),0)*1.05</f>
        <v>4912.95</v>
      </c>
      <c r="O1367" s="49">
        <f>ROUND((4791*$T$1),0)*1.05</f>
        <v>5030.55</v>
      </c>
      <c r="P1367" s="49">
        <f>ROUND((4903*$T$1),0)*1.05</f>
        <v>5148.1500000000005</v>
      </c>
      <c r="Q1367" s="49">
        <f>ROUND((5015*$T$1),0)*1.05</f>
        <v>5265.75</v>
      </c>
      <c r="R1367" s="33"/>
      <c r="S1367" s="33"/>
      <c r="T1367" s="33"/>
      <c r="U1367" s="33"/>
    </row>
    <row r="1368" spans="1:21" ht="15" customHeight="1" x14ac:dyDescent="0.3">
      <c r="A1368" s="42"/>
      <c r="B1368" s="43"/>
      <c r="C1368" s="44"/>
      <c r="D1368" s="45"/>
      <c r="E1368" s="46"/>
      <c r="F1368" s="47"/>
      <c r="G1368" s="46"/>
      <c r="H1368" s="47"/>
      <c r="I1368" s="48"/>
      <c r="J1368" s="49"/>
      <c r="K1368" s="49"/>
      <c r="L1368" s="49"/>
      <c r="M1368" s="49"/>
      <c r="N1368" s="49"/>
      <c r="O1368" s="49"/>
      <c r="P1368" s="49"/>
      <c r="Q1368" s="49"/>
    </row>
    <row r="1369" spans="1:21" ht="15" customHeight="1" x14ac:dyDescent="0.3">
      <c r="A1369" s="42"/>
      <c r="B1369" s="97"/>
      <c r="C1369" s="98"/>
      <c r="D1369" s="99"/>
      <c r="E1369" s="99"/>
      <c r="F1369" s="99"/>
      <c r="G1369" s="99"/>
      <c r="H1369" s="99"/>
      <c r="I1369" s="100"/>
      <c r="J1369" s="101"/>
      <c r="K1369" s="101"/>
      <c r="L1369" s="101"/>
      <c r="M1369" s="101"/>
      <c r="N1369" s="101"/>
      <c r="O1369" s="101"/>
      <c r="P1369" s="101"/>
      <c r="Q1369" s="101"/>
    </row>
    <row r="1370" spans="1:21" ht="15" customHeight="1" x14ac:dyDescent="0.3">
      <c r="A1370" s="42"/>
      <c r="B1370" s="126" t="s">
        <v>418</v>
      </c>
      <c r="C1370" s="98"/>
      <c r="D1370" s="99"/>
      <c r="E1370" s="99"/>
      <c r="F1370" s="99"/>
      <c r="G1370" s="99"/>
      <c r="H1370" s="99"/>
      <c r="I1370" s="100"/>
      <c r="J1370" s="101"/>
      <c r="K1370" s="101"/>
      <c r="L1370" s="101"/>
      <c r="M1370" s="101"/>
      <c r="N1370" s="101"/>
      <c r="O1370" s="101"/>
      <c r="P1370" s="101"/>
      <c r="Q1370" s="101"/>
    </row>
    <row r="1371" spans="1:21" ht="15" customHeight="1" x14ac:dyDescent="0.3">
      <c r="A1371" s="42"/>
      <c r="B1371" s="59"/>
      <c r="C1371" s="59" t="s">
        <v>511</v>
      </c>
      <c r="D1371" s="59"/>
      <c r="E1371" s="59"/>
      <c r="F1371" s="59"/>
      <c r="G1371" s="59"/>
      <c r="H1371" s="59"/>
      <c r="I1371" s="61"/>
      <c r="J1371" s="62"/>
      <c r="K1371" s="62"/>
      <c r="L1371" s="62"/>
      <c r="M1371" s="62"/>
      <c r="N1371" s="62"/>
      <c r="O1371" s="62"/>
      <c r="P1371" s="62"/>
      <c r="Q1371" s="62"/>
    </row>
    <row r="1373" spans="1:21" ht="29.1" customHeight="1" x14ac:dyDescent="0.25">
      <c r="A1373" s="127" t="s">
        <v>799</v>
      </c>
      <c r="B1373" s="77"/>
      <c r="C1373" s="187" t="s">
        <v>41</v>
      </c>
      <c r="D1373" s="187"/>
      <c r="E1373" s="187"/>
      <c r="F1373" s="187"/>
      <c r="G1373" s="187"/>
      <c r="H1373" s="187"/>
      <c r="I1373" s="78" t="s">
        <v>42</v>
      </c>
      <c r="J1373" s="41" t="s">
        <v>43</v>
      </c>
      <c r="K1373" s="41">
        <v>1000</v>
      </c>
      <c r="L1373" s="41">
        <v>2000</v>
      </c>
      <c r="M1373" s="41">
        <v>3000</v>
      </c>
      <c r="N1373" s="41">
        <v>4000</v>
      </c>
      <c r="O1373" s="41">
        <v>5000</v>
      </c>
      <c r="P1373" s="41">
        <v>6000</v>
      </c>
      <c r="Q1373" s="41">
        <v>7000</v>
      </c>
    </row>
    <row r="1374" spans="1:21" ht="15" customHeight="1" x14ac:dyDescent="0.3">
      <c r="A1374" s="42"/>
      <c r="B1374" s="43" t="s">
        <v>800</v>
      </c>
      <c r="C1374" s="44" t="s">
        <v>45</v>
      </c>
      <c r="D1374" s="45" t="s">
        <v>79</v>
      </c>
      <c r="E1374" s="46" t="s">
        <v>47</v>
      </c>
      <c r="F1374" s="47">
        <v>0.9</v>
      </c>
      <c r="G1374" s="46" t="s">
        <v>48</v>
      </c>
      <c r="H1374" s="47">
        <v>0.98</v>
      </c>
      <c r="I1374" s="48">
        <v>7.5</v>
      </c>
      <c r="J1374" s="49">
        <f>ROUND((3869*$T$1),0)*1.05</f>
        <v>4062.4500000000003</v>
      </c>
      <c r="K1374" s="49">
        <f>ROUND((4115*$T$1),0)*1.05</f>
        <v>4320.75</v>
      </c>
      <c r="L1374" s="49">
        <f>ROUND((4236*$T$1),0)*1.05</f>
        <v>4447.8</v>
      </c>
      <c r="M1374" s="49">
        <f>ROUND((4355*$T$1),0)*1.05</f>
        <v>4572.75</v>
      </c>
      <c r="N1374" s="49">
        <f>ROUND((4595*$T$1),0)*1.05</f>
        <v>4824.75</v>
      </c>
      <c r="O1374" s="49">
        <f>ROUND((4650*$T$1),0)*1.05</f>
        <v>4882.5</v>
      </c>
      <c r="P1374" s="49">
        <f>ROUND((4716*$T$1),0)*1.05</f>
        <v>4951.8</v>
      </c>
      <c r="Q1374" s="49">
        <f>ROUND((4837*$T$1),0)*1.05</f>
        <v>5078.8500000000004</v>
      </c>
      <c r="R1374" s="33"/>
      <c r="S1374" s="33"/>
      <c r="T1374" s="33"/>
      <c r="U1374" s="33"/>
    </row>
    <row r="1375" spans="1:21" ht="15" customHeight="1" x14ac:dyDescent="0.3">
      <c r="A1375" s="42"/>
      <c r="B1375" s="43" t="s">
        <v>801</v>
      </c>
      <c r="C1375" s="44" t="s">
        <v>45</v>
      </c>
      <c r="D1375" s="45" t="s">
        <v>509</v>
      </c>
      <c r="E1375" s="46" t="s">
        <v>47</v>
      </c>
      <c r="F1375" s="47">
        <v>0.9</v>
      </c>
      <c r="G1375" s="46" t="s">
        <v>48</v>
      </c>
      <c r="H1375" s="47">
        <v>0.98</v>
      </c>
      <c r="I1375" s="48">
        <v>8</v>
      </c>
      <c r="J1375" s="49">
        <f>ROUND((4062*$T$1),0)*1.05</f>
        <v>4265.1000000000004</v>
      </c>
      <c r="K1375" s="49">
        <f>ROUND((4321*$T$1),0)*1.05</f>
        <v>4537.05</v>
      </c>
      <c r="L1375" s="49">
        <f>ROUND((4447*$T$1),0)*1.05</f>
        <v>4669.3500000000004</v>
      </c>
      <c r="M1375" s="49">
        <f>ROUND((4573*$T$1),0)*1.05</f>
        <v>4801.6500000000005</v>
      </c>
      <c r="N1375" s="49">
        <f>ROUND((4699*$T$1),0)*1.05</f>
        <v>4933.95</v>
      </c>
      <c r="O1375" s="49">
        <f>ROUND((4825*$T$1),0)*1.05</f>
        <v>5066.25</v>
      </c>
      <c r="P1375" s="49">
        <f>ROUND((4951*$T$1),0)*1.05</f>
        <v>5198.55</v>
      </c>
      <c r="Q1375" s="49">
        <f>ROUND((5077*$T$1),0)*1.05</f>
        <v>5330.85</v>
      </c>
      <c r="R1375" s="33"/>
      <c r="S1375" s="33"/>
      <c r="T1375" s="33"/>
      <c r="U1375" s="33"/>
    </row>
    <row r="1376" spans="1:21" ht="15" customHeight="1" x14ac:dyDescent="0.3">
      <c r="A1376" s="42"/>
      <c r="B1376" s="43" t="s">
        <v>802</v>
      </c>
      <c r="C1376" s="44" t="s">
        <v>45</v>
      </c>
      <c r="D1376" s="45" t="s">
        <v>307</v>
      </c>
      <c r="E1376" s="46" t="s">
        <v>47</v>
      </c>
      <c r="F1376" s="47">
        <v>0.9</v>
      </c>
      <c r="G1376" s="46" t="s">
        <v>48</v>
      </c>
      <c r="H1376" s="47">
        <v>0.98</v>
      </c>
      <c r="I1376" s="48">
        <v>8.5</v>
      </c>
      <c r="J1376" s="49">
        <f>ROUND((4265*$T$1),0)*1.05</f>
        <v>4478.25</v>
      </c>
      <c r="K1376" s="49">
        <f>ROUND((4537*$T$1),0)*1.05</f>
        <v>4763.8500000000004</v>
      </c>
      <c r="L1376" s="49">
        <f>ROUND((4670*$T$1),0)*1.05</f>
        <v>4903.5</v>
      </c>
      <c r="M1376" s="49">
        <f>ROUND((4802*$T$1),0)*1.05</f>
        <v>5042.1000000000004</v>
      </c>
      <c r="N1376" s="49">
        <f>ROUND((4934*$T$1),0)*1.05</f>
        <v>5180.7</v>
      </c>
      <c r="O1376" s="49">
        <f>ROUND((5067*$T$1),0)*1.05</f>
        <v>5320.35</v>
      </c>
      <c r="P1376" s="49">
        <f>ROUND((5206*$T$1),0)*1.05</f>
        <v>5466.3</v>
      </c>
      <c r="Q1376" s="49">
        <f>ROUND((5345*$T$1),0)*1.05</f>
        <v>5612.25</v>
      </c>
      <c r="R1376" s="33"/>
      <c r="S1376" s="33"/>
      <c r="T1376" s="33"/>
      <c r="U1376" s="33"/>
    </row>
    <row r="1377" spans="1:21" ht="15" customHeight="1" x14ac:dyDescent="0.3">
      <c r="A1377" s="42"/>
      <c r="B1377" s="43" t="s">
        <v>803</v>
      </c>
      <c r="C1377" s="44" t="s">
        <v>45</v>
      </c>
      <c r="D1377" s="45" t="s">
        <v>303</v>
      </c>
      <c r="E1377" s="46" t="s">
        <v>47</v>
      </c>
      <c r="F1377" s="47">
        <v>0.9</v>
      </c>
      <c r="G1377" s="46" t="s">
        <v>48</v>
      </c>
      <c r="H1377" s="47">
        <v>0.98</v>
      </c>
      <c r="I1377" s="48">
        <v>9</v>
      </c>
      <c r="J1377" s="49">
        <f>ROUND((4479*$T$1),0)*1.05</f>
        <v>4702.95</v>
      </c>
      <c r="K1377" s="49">
        <f>ROUND((4764*$T$1),0)*1.05</f>
        <v>5002.2</v>
      </c>
      <c r="L1377" s="49">
        <f>ROUND((4903*$T$1),0)*1.05</f>
        <v>5148.1500000000005</v>
      </c>
      <c r="M1377" s="49">
        <f>ROUND((5042*$T$1),0)*1.05</f>
        <v>5294.1</v>
      </c>
      <c r="N1377" s="49">
        <f>ROUND((5180*$T$1),0)*1.05</f>
        <v>5439</v>
      </c>
      <c r="O1377" s="49">
        <f>ROUND((5320*$T$1),0)*1.05</f>
        <v>5586</v>
      </c>
      <c r="P1377" s="49">
        <f>ROUND((5459*$T$1),0)*1.05</f>
        <v>5731.95</v>
      </c>
      <c r="Q1377" s="49">
        <f>ROUND((5598*$T$1),0)*1.05</f>
        <v>5877.9000000000005</v>
      </c>
      <c r="R1377" s="33"/>
      <c r="S1377" s="33"/>
      <c r="T1377" s="33"/>
      <c r="U1377" s="33"/>
    </row>
    <row r="1378" spans="1:21" ht="15" customHeight="1" x14ac:dyDescent="0.3">
      <c r="A1378" s="42"/>
      <c r="B1378" s="43" t="s">
        <v>804</v>
      </c>
      <c r="C1378" s="44" t="s">
        <v>45</v>
      </c>
      <c r="D1378" s="45" t="s">
        <v>301</v>
      </c>
      <c r="E1378" s="46" t="s">
        <v>47</v>
      </c>
      <c r="F1378" s="47">
        <v>0.9</v>
      </c>
      <c r="G1378" s="46" t="s">
        <v>48</v>
      </c>
      <c r="H1378" s="47">
        <v>0.98</v>
      </c>
      <c r="I1378" s="48">
        <v>9.5</v>
      </c>
      <c r="J1378" s="49">
        <f>ROUND((4702*$T$1),0)*1.05</f>
        <v>4937.1000000000004</v>
      </c>
      <c r="K1378" s="49">
        <f>ROUND((5002*$T$1),0)*1.05</f>
        <v>5252.1</v>
      </c>
      <c r="L1378" s="49">
        <f>ROUND((5148*$T$1),0)*1.05</f>
        <v>5405.4000000000005</v>
      </c>
      <c r="M1378" s="49">
        <f>ROUND((5294*$T$1),0)*1.05</f>
        <v>5558.7</v>
      </c>
      <c r="N1378" s="49">
        <f>ROUND((5440*$T$1),0)*1.05</f>
        <v>5712</v>
      </c>
      <c r="O1378" s="49">
        <f>ROUND((5586*$T$1),0)*1.05</f>
        <v>5865.3</v>
      </c>
      <c r="P1378" s="49">
        <f>ROUND((5732*$T$1),0)*1.05</f>
        <v>6018.6</v>
      </c>
      <c r="Q1378" s="49">
        <f>ROUND((5878*$T$1),0)*1.05</f>
        <v>6171.9000000000005</v>
      </c>
      <c r="R1378" s="33"/>
      <c r="S1378" s="33"/>
      <c r="T1378" s="33"/>
      <c r="U1378" s="33"/>
    </row>
    <row r="1379" spans="1:21" ht="15" customHeight="1" x14ac:dyDescent="0.3">
      <c r="A1379" s="42"/>
      <c r="B1379" s="43"/>
      <c r="C1379" s="44"/>
      <c r="D1379" s="45"/>
      <c r="E1379" s="46"/>
      <c r="F1379" s="47"/>
      <c r="G1379" s="46"/>
      <c r="H1379" s="47"/>
      <c r="I1379" s="48"/>
      <c r="J1379" s="49"/>
      <c r="K1379" s="49"/>
      <c r="L1379" s="49"/>
      <c r="M1379" s="49"/>
      <c r="N1379" s="49"/>
      <c r="O1379" s="49"/>
      <c r="P1379" s="49"/>
      <c r="Q1379" s="49"/>
      <c r="R1379" s="33"/>
      <c r="S1379" s="33"/>
      <c r="T1379" s="33"/>
      <c r="U1379" s="33"/>
    </row>
    <row r="1380" spans="1:21" ht="15" customHeight="1" x14ac:dyDescent="0.3">
      <c r="A1380" s="42"/>
      <c r="B1380" s="43" t="s">
        <v>805</v>
      </c>
      <c r="C1380" s="44" t="s">
        <v>45</v>
      </c>
      <c r="D1380" s="45" t="s">
        <v>79</v>
      </c>
      <c r="E1380" s="46" t="s">
        <v>47</v>
      </c>
      <c r="F1380" s="47">
        <v>1.1000000000000001</v>
      </c>
      <c r="G1380" s="46" t="s">
        <v>48</v>
      </c>
      <c r="H1380" s="47">
        <v>0.98</v>
      </c>
      <c r="I1380" s="48">
        <v>7</v>
      </c>
      <c r="J1380" s="49">
        <f>ROUND((3569*$T$1),0)*1.05</f>
        <v>3747.4500000000003</v>
      </c>
      <c r="K1380" s="49">
        <f>ROUND((3796*$T$1),0)*1.05</f>
        <v>3985.8</v>
      </c>
      <c r="L1380" s="49">
        <f>ROUND((3908*$T$1),0)*1.05</f>
        <v>4103.4000000000005</v>
      </c>
      <c r="M1380" s="49">
        <f>ROUND((4018*$T$1),0)*1.05</f>
        <v>4218.9000000000005</v>
      </c>
      <c r="N1380" s="49">
        <f>ROUND((4239*$T$1),0)*1.05</f>
        <v>4450.95</v>
      </c>
      <c r="O1380" s="49">
        <f>ROUND((4239*$T$1),0)*1.05</f>
        <v>4450.95</v>
      </c>
      <c r="P1380" s="49">
        <f>ROUND((4351*$T$1),0)*1.05</f>
        <v>4568.55</v>
      </c>
      <c r="Q1380" s="49">
        <f>ROUND((4463*$T$1),0)*1.05</f>
        <v>4686.1500000000005</v>
      </c>
      <c r="R1380" s="33"/>
      <c r="S1380" s="33"/>
      <c r="T1380" s="33"/>
      <c r="U1380" s="33"/>
    </row>
    <row r="1381" spans="1:21" ht="15" customHeight="1" x14ac:dyDescent="0.3">
      <c r="A1381" s="42"/>
      <c r="B1381" s="43" t="s">
        <v>806</v>
      </c>
      <c r="C1381" s="44" t="s">
        <v>45</v>
      </c>
      <c r="D1381" s="45" t="s">
        <v>509</v>
      </c>
      <c r="E1381" s="46" t="s">
        <v>47</v>
      </c>
      <c r="F1381" s="47">
        <v>1.1000000000000001</v>
      </c>
      <c r="G1381" s="46" t="s">
        <v>48</v>
      </c>
      <c r="H1381" s="47">
        <v>0.98</v>
      </c>
      <c r="I1381" s="48">
        <v>7.5</v>
      </c>
      <c r="J1381" s="49">
        <f>ROUND((3747*$T$1),0)*1.05</f>
        <v>3934.3500000000004</v>
      </c>
      <c r="K1381" s="49">
        <f>ROUND((3987*$T$1),0)*1.05</f>
        <v>4186.3500000000004</v>
      </c>
      <c r="L1381" s="49">
        <f>ROUND((4102*$T$1),0)*1.05</f>
        <v>4307.1000000000004</v>
      </c>
      <c r="M1381" s="49">
        <f>ROUND((4219*$T$1),0)*1.05</f>
        <v>4429.95</v>
      </c>
      <c r="N1381" s="49">
        <f>ROUND((4335*$T$1),0)*1.05</f>
        <v>4551.75</v>
      </c>
      <c r="O1381" s="49">
        <f>ROUND((4452*$T$1),0)*1.05</f>
        <v>4674.6000000000004</v>
      </c>
      <c r="P1381" s="49">
        <f>ROUND((4569*$T$1),0)*1.05</f>
        <v>4797.45</v>
      </c>
      <c r="Q1381" s="49">
        <f>ROUND((4686*$T$1),0)*1.05</f>
        <v>4920.3</v>
      </c>
      <c r="R1381" s="33"/>
      <c r="S1381" s="33"/>
      <c r="T1381" s="33"/>
      <c r="U1381" s="33"/>
    </row>
    <row r="1382" spans="1:21" ht="15" customHeight="1" x14ac:dyDescent="0.3">
      <c r="A1382" s="42"/>
      <c r="B1382" s="43" t="s">
        <v>807</v>
      </c>
      <c r="C1382" s="44" t="s">
        <v>45</v>
      </c>
      <c r="D1382" s="45" t="s">
        <v>307</v>
      </c>
      <c r="E1382" s="46" t="s">
        <v>47</v>
      </c>
      <c r="F1382" s="47">
        <v>1.1000000000000001</v>
      </c>
      <c r="G1382" s="46" t="s">
        <v>48</v>
      </c>
      <c r="H1382" s="47">
        <v>0.98</v>
      </c>
      <c r="I1382" s="48">
        <v>8</v>
      </c>
      <c r="J1382" s="49">
        <f>ROUND((3935*$T$1),0)*1.05</f>
        <v>4131.75</v>
      </c>
      <c r="K1382" s="49">
        <f>ROUND((4185*$T$1),0)*1.05</f>
        <v>4394.25</v>
      </c>
      <c r="L1382" s="49">
        <f>ROUND((4308*$T$1),0)*1.05</f>
        <v>4523.4000000000005</v>
      </c>
      <c r="M1382" s="49">
        <f>ROUND((4430*$T$1),0)*1.05</f>
        <v>4651.5</v>
      </c>
      <c r="N1382" s="49">
        <f>ROUND((4552*$T$1),0)*1.05</f>
        <v>4779.6000000000004</v>
      </c>
      <c r="O1382" s="49">
        <f>ROUND((4675*$T$1),0)*1.05</f>
        <v>4908.75</v>
      </c>
      <c r="P1382" s="49">
        <f>ROUND((4798*$T$1),0)*1.05</f>
        <v>5037.9000000000005</v>
      </c>
      <c r="Q1382" s="49">
        <f>ROUND((4921*$T$1),0)*1.05</f>
        <v>5167.05</v>
      </c>
      <c r="R1382" s="33"/>
      <c r="S1382" s="33"/>
      <c r="T1382" s="33"/>
      <c r="U1382" s="33"/>
    </row>
    <row r="1383" spans="1:21" ht="15" customHeight="1" x14ac:dyDescent="0.3">
      <c r="A1383" s="42"/>
      <c r="B1383" s="43" t="s">
        <v>808</v>
      </c>
      <c r="C1383" s="44" t="s">
        <v>45</v>
      </c>
      <c r="D1383" s="45" t="s">
        <v>303</v>
      </c>
      <c r="E1383" s="46" t="s">
        <v>47</v>
      </c>
      <c r="F1383" s="47">
        <v>1.1000000000000001</v>
      </c>
      <c r="G1383" s="46" t="s">
        <v>48</v>
      </c>
      <c r="H1383" s="47">
        <v>0.98</v>
      </c>
      <c r="I1383" s="48">
        <v>8.5</v>
      </c>
      <c r="J1383" s="49">
        <f>ROUND((4132*$T$1),0)*1.05</f>
        <v>4338.6000000000004</v>
      </c>
      <c r="K1383" s="49">
        <f>ROUND((4395*$T$1),0)*1.05</f>
        <v>4614.75</v>
      </c>
      <c r="L1383" s="49">
        <f>ROUND((4523*$T$1),0)*1.05</f>
        <v>4749.1500000000005</v>
      </c>
      <c r="M1383" s="49">
        <f>ROUND((4651*$T$1),0)*1.05</f>
        <v>4883.55</v>
      </c>
      <c r="N1383" s="49">
        <f>ROUND((4779*$T$1),0)*1.05</f>
        <v>5017.95</v>
      </c>
      <c r="O1383" s="49">
        <f>ROUND((4908*$T$1),0)*1.05</f>
        <v>5153.4000000000005</v>
      </c>
      <c r="P1383" s="49">
        <f>ROUND((5043*$T$1),0)*1.05</f>
        <v>5295.1500000000005</v>
      </c>
      <c r="Q1383" s="49">
        <f>ROUND((5178*$T$1),0)*1.05</f>
        <v>5436.9000000000005</v>
      </c>
      <c r="R1383" s="33"/>
      <c r="S1383" s="33"/>
      <c r="T1383" s="33"/>
      <c r="U1383" s="33"/>
    </row>
    <row r="1384" spans="1:21" ht="15" customHeight="1" x14ac:dyDescent="0.3">
      <c r="A1384" s="42"/>
      <c r="B1384" s="43" t="s">
        <v>809</v>
      </c>
      <c r="C1384" s="44" t="s">
        <v>45</v>
      </c>
      <c r="D1384" s="45" t="s">
        <v>301</v>
      </c>
      <c r="E1384" s="46" t="s">
        <v>47</v>
      </c>
      <c r="F1384" s="47">
        <v>1.1000000000000001</v>
      </c>
      <c r="G1384" s="46" t="s">
        <v>48</v>
      </c>
      <c r="H1384" s="47">
        <v>0.98</v>
      </c>
      <c r="I1384" s="48">
        <v>9</v>
      </c>
      <c r="J1384" s="49">
        <f>ROUND((4338*$T$1),0)*1.05</f>
        <v>4554.9000000000005</v>
      </c>
      <c r="K1384" s="49">
        <f>ROUND((4615*$T$1),0)*1.05</f>
        <v>4845.75</v>
      </c>
      <c r="L1384" s="49">
        <f>ROUND((4750*$T$1),0)*1.05</f>
        <v>4987.5</v>
      </c>
      <c r="M1384" s="49">
        <f>ROUND((4884*$T$1),0)*1.05</f>
        <v>5128.2</v>
      </c>
      <c r="N1384" s="49">
        <f>ROUND((5019*$T$1),0)*1.05</f>
        <v>5269.95</v>
      </c>
      <c r="O1384" s="49">
        <f>ROUND((5153*$T$1),0)*1.05</f>
        <v>5410.6500000000005</v>
      </c>
      <c r="P1384" s="49">
        <f>ROUND((5288*$T$1),0)*1.05</f>
        <v>5552.4000000000005</v>
      </c>
      <c r="Q1384" s="49">
        <f>ROUND((5423*$T$1),0)*1.05</f>
        <v>5694.1500000000005</v>
      </c>
      <c r="R1384" s="33"/>
      <c r="S1384" s="33"/>
      <c r="T1384" s="33"/>
      <c r="U1384" s="33"/>
    </row>
    <row r="1385" spans="1:21" ht="15" customHeight="1" x14ac:dyDescent="0.3">
      <c r="A1385" s="42"/>
      <c r="B1385" s="43"/>
      <c r="C1385" s="44"/>
      <c r="D1385" s="45"/>
      <c r="E1385" s="46"/>
      <c r="F1385" s="47"/>
      <c r="G1385" s="46"/>
      <c r="H1385" s="47"/>
      <c r="I1385" s="48"/>
      <c r="J1385" s="49"/>
      <c r="K1385" s="49"/>
      <c r="L1385" s="49"/>
      <c r="M1385" s="49"/>
      <c r="N1385" s="49"/>
      <c r="O1385" s="49"/>
      <c r="P1385" s="49"/>
      <c r="Q1385" s="49"/>
      <c r="R1385" s="33"/>
      <c r="S1385" s="33"/>
      <c r="T1385" s="33"/>
      <c r="U1385" s="33"/>
    </row>
    <row r="1386" spans="1:21" ht="15" customHeight="1" x14ac:dyDescent="0.3">
      <c r="A1386" s="42"/>
      <c r="B1386" s="126" t="s">
        <v>418</v>
      </c>
      <c r="C1386" s="98"/>
      <c r="D1386" s="99"/>
      <c r="E1386" s="99"/>
      <c r="F1386" s="99"/>
      <c r="G1386" s="99"/>
      <c r="H1386" s="99"/>
      <c r="I1386" s="100"/>
      <c r="J1386" s="101"/>
      <c r="K1386" s="101"/>
      <c r="L1386" s="101"/>
      <c r="M1386" s="101"/>
      <c r="N1386" s="101"/>
      <c r="O1386" s="101"/>
      <c r="P1386" s="101"/>
      <c r="Q1386" s="101"/>
    </row>
    <row r="1387" spans="1:21" ht="15" customHeight="1" x14ac:dyDescent="0.3">
      <c r="A1387" s="42"/>
      <c r="B1387" s="59"/>
      <c r="C1387" s="59" t="s">
        <v>511</v>
      </c>
      <c r="D1387" s="59"/>
      <c r="E1387" s="59"/>
      <c r="F1387" s="59"/>
      <c r="G1387" s="59"/>
      <c r="H1387" s="59"/>
      <c r="I1387" s="61"/>
      <c r="J1387" s="62"/>
      <c r="K1387" s="62"/>
      <c r="L1387" s="62"/>
      <c r="M1387" s="62"/>
      <c r="N1387" s="62"/>
      <c r="O1387" s="62"/>
      <c r="P1387" s="62"/>
      <c r="Q1387" s="62"/>
    </row>
    <row r="1389" spans="1:21" ht="29.1" customHeight="1" x14ac:dyDescent="0.25">
      <c r="A1389" s="127" t="s">
        <v>810</v>
      </c>
      <c r="B1389" s="77"/>
      <c r="C1389" s="187" t="s">
        <v>41</v>
      </c>
      <c r="D1389" s="187"/>
      <c r="E1389" s="187"/>
      <c r="F1389" s="187"/>
      <c r="G1389" s="187"/>
      <c r="H1389" s="187"/>
      <c r="I1389" s="78" t="s">
        <v>42</v>
      </c>
      <c r="J1389" s="41" t="s">
        <v>43</v>
      </c>
      <c r="K1389" s="41">
        <v>1000</v>
      </c>
      <c r="L1389" s="41">
        <v>2000</v>
      </c>
      <c r="M1389" s="41">
        <v>3000</v>
      </c>
      <c r="N1389" s="41">
        <v>4000</v>
      </c>
      <c r="O1389" s="41">
        <v>5000</v>
      </c>
      <c r="P1389" s="41">
        <v>6000</v>
      </c>
      <c r="Q1389" s="41">
        <v>7000</v>
      </c>
    </row>
    <row r="1390" spans="1:21" ht="15" customHeight="1" x14ac:dyDescent="0.3">
      <c r="A1390" s="42"/>
      <c r="B1390" s="43" t="s">
        <v>811</v>
      </c>
      <c r="C1390" s="44" t="s">
        <v>45</v>
      </c>
      <c r="D1390" s="45" t="s">
        <v>387</v>
      </c>
      <c r="E1390" s="46" t="s">
        <v>47</v>
      </c>
      <c r="F1390" s="47">
        <v>1.2</v>
      </c>
      <c r="G1390" s="46" t="s">
        <v>48</v>
      </c>
      <c r="H1390" s="47">
        <v>0.98</v>
      </c>
      <c r="I1390" s="48">
        <v>12.5</v>
      </c>
      <c r="J1390" s="49">
        <f>ROUND((4430*$T$1),0)*1.05</f>
        <v>4651.5</v>
      </c>
      <c r="K1390" s="49">
        <f>ROUND((4713*$T$1),0)*1.05</f>
        <v>4948.6500000000005</v>
      </c>
      <c r="L1390" s="49">
        <f>ROUND((4872*$T$1),0)*1.05</f>
        <v>5115.6000000000004</v>
      </c>
      <c r="M1390" s="49">
        <f>ROUND((5031*$T$1),0)*1.05</f>
        <v>5282.55</v>
      </c>
      <c r="N1390" s="49">
        <f>ROUND((5191*$T$1),0)*1.05</f>
        <v>5450.55</v>
      </c>
      <c r="O1390" s="49">
        <f>ROUND((5351*$T$1),0)*1.05</f>
        <v>5618.55</v>
      </c>
      <c r="P1390" s="49">
        <f>ROUND((5511*$T$1),0)*1.05</f>
        <v>5786.55</v>
      </c>
      <c r="Q1390" s="49">
        <f>ROUND((5671*$T$1),0)*1.05</f>
        <v>5954.55</v>
      </c>
      <c r="R1390" s="33"/>
      <c r="S1390" s="33"/>
      <c r="T1390" s="33"/>
      <c r="U1390" s="33"/>
    </row>
    <row r="1391" spans="1:21" ht="15" customHeight="1" x14ac:dyDescent="0.3">
      <c r="A1391" s="42"/>
      <c r="B1391" s="43" t="s">
        <v>812</v>
      </c>
      <c r="C1391" s="44" t="s">
        <v>45</v>
      </c>
      <c r="D1391" s="45" t="s">
        <v>513</v>
      </c>
      <c r="E1391" s="46" t="s">
        <v>47</v>
      </c>
      <c r="F1391" s="47">
        <v>1.5</v>
      </c>
      <c r="G1391" s="46" t="s">
        <v>48</v>
      </c>
      <c r="H1391" s="47">
        <v>0.98</v>
      </c>
      <c r="I1391" s="48">
        <v>13</v>
      </c>
      <c r="J1391" s="49">
        <f>ROUND((4651*$T$1),0)*1.05</f>
        <v>4883.55</v>
      </c>
      <c r="K1391" s="49">
        <f>ROUND((4949*$T$1),0)*1.05</f>
        <v>5196.45</v>
      </c>
      <c r="L1391" s="49">
        <f>ROUND((5116*$T$1),0)*1.05</f>
        <v>5371.8</v>
      </c>
      <c r="M1391" s="49">
        <f>ROUND((5283*$T$1),0)*1.05</f>
        <v>5547.1500000000005</v>
      </c>
      <c r="N1391" s="49">
        <f>ROUND((5451*$T$1),0)*1.05</f>
        <v>5723.55</v>
      </c>
      <c r="O1391" s="49">
        <f>ROUND((5618*$T$1),0)*1.05</f>
        <v>5898.9000000000005</v>
      </c>
      <c r="P1391" s="49">
        <f>ROUND((5786*$T$1),0)*1.05</f>
        <v>6075.3</v>
      </c>
      <c r="Q1391" s="49">
        <f>ROUND((5954*$T$1),0)*1.05</f>
        <v>6251.7</v>
      </c>
      <c r="R1391" s="33"/>
      <c r="S1391" s="33"/>
      <c r="T1391" s="33"/>
      <c r="U1391" s="33"/>
    </row>
    <row r="1392" spans="1:21" ht="15" customHeight="1" x14ac:dyDescent="0.3">
      <c r="A1392" s="42"/>
      <c r="B1392" s="43" t="s">
        <v>813</v>
      </c>
      <c r="C1392" s="44" t="s">
        <v>45</v>
      </c>
      <c r="D1392" s="45" t="s">
        <v>481</v>
      </c>
      <c r="E1392" s="46" t="s">
        <v>47</v>
      </c>
      <c r="F1392" s="47">
        <v>1.5</v>
      </c>
      <c r="G1392" s="46" t="s">
        <v>48</v>
      </c>
      <c r="H1392" s="47">
        <v>0.98</v>
      </c>
      <c r="I1392" s="48">
        <v>13.5</v>
      </c>
      <c r="J1392" s="49">
        <f>ROUND((4884*$T$1),0)*1.05</f>
        <v>5128.2</v>
      </c>
      <c r="K1392" s="49">
        <f>ROUND((5196*$T$1),0)*1.05</f>
        <v>5455.8</v>
      </c>
      <c r="L1392" s="49">
        <f>ROUND((5373*$T$1),0)*1.05</f>
        <v>5641.6500000000005</v>
      </c>
      <c r="M1392" s="49">
        <f>ROUND((5547*$T$1),0)*1.05</f>
        <v>5824.35</v>
      </c>
      <c r="N1392" s="49">
        <f>ROUND((5724*$T$1),0)*1.05</f>
        <v>6010.2</v>
      </c>
      <c r="O1392" s="49">
        <f>ROUND((5899*$T$1),0)*1.05</f>
        <v>6193.95</v>
      </c>
      <c r="P1392" s="49">
        <f>ROUND((6074*$T$1),0)*1.05</f>
        <v>6377.7</v>
      </c>
      <c r="Q1392" s="49">
        <f>ROUND((6249*$T$1),0)*1.05</f>
        <v>6561.4500000000007</v>
      </c>
      <c r="R1392" s="33"/>
      <c r="S1392" s="33"/>
      <c r="T1392" s="33"/>
      <c r="U1392" s="33"/>
    </row>
    <row r="1393" spans="1:21" ht="15" customHeight="1" x14ac:dyDescent="0.3">
      <c r="A1393" s="42"/>
      <c r="B1393" s="43" t="s">
        <v>814</v>
      </c>
      <c r="C1393" s="44" t="s">
        <v>45</v>
      </c>
      <c r="D1393" s="45" t="s">
        <v>479</v>
      </c>
      <c r="E1393" s="46" t="s">
        <v>47</v>
      </c>
      <c r="F1393" s="47">
        <v>1.5</v>
      </c>
      <c r="G1393" s="46" t="s">
        <v>48</v>
      </c>
      <c r="H1393" s="47">
        <v>0.98</v>
      </c>
      <c r="I1393" s="48">
        <v>14</v>
      </c>
      <c r="J1393" s="49">
        <f>ROUND((5128*$T$1),0)*1.05</f>
        <v>5384.4000000000005</v>
      </c>
      <c r="K1393" s="49">
        <f>ROUND((5455*$T$1),0)*1.05</f>
        <v>5727.75</v>
      </c>
      <c r="L1393" s="49">
        <f>ROUND((5641*$T$1),0)*1.05</f>
        <v>5923.05</v>
      </c>
      <c r="M1393" s="49">
        <f>ROUND((5824*$T$1),0)*1.05</f>
        <v>6115.2</v>
      </c>
      <c r="N1393" s="49">
        <f>ROUND((6009*$T$1),0)*1.05</f>
        <v>6309.45</v>
      </c>
      <c r="O1393" s="49">
        <f>ROUND((6194*$T$1),0)*1.05</f>
        <v>6503.7000000000007</v>
      </c>
      <c r="P1393" s="49">
        <f>ROUND((6379*$T$1),0)*1.05</f>
        <v>6697.9500000000007</v>
      </c>
      <c r="Q1393" s="49">
        <f>ROUND((6564*$T$1),0)*1.05</f>
        <v>6892.2000000000007</v>
      </c>
      <c r="R1393" s="33"/>
      <c r="S1393" s="33"/>
      <c r="T1393" s="33"/>
      <c r="U1393" s="33"/>
    </row>
    <row r="1394" spans="1:21" ht="15" customHeight="1" x14ac:dyDescent="0.3">
      <c r="A1394" s="42"/>
      <c r="B1394" s="43" t="s">
        <v>815</v>
      </c>
      <c r="C1394" s="44" t="s">
        <v>45</v>
      </c>
      <c r="D1394" s="45" t="s">
        <v>478</v>
      </c>
      <c r="E1394" s="46" t="s">
        <v>47</v>
      </c>
      <c r="F1394" s="47">
        <v>1.5</v>
      </c>
      <c r="G1394" s="46" t="s">
        <v>48</v>
      </c>
      <c r="H1394" s="47">
        <v>0.98</v>
      </c>
      <c r="I1394" s="48">
        <v>14.5</v>
      </c>
      <c r="J1394" s="49">
        <f>ROUND((5385*$T$1),0)*1.05</f>
        <v>5654.25</v>
      </c>
      <c r="K1394" s="49">
        <f>ROUND((5729*$T$1),0)*1.05</f>
        <v>6015.45</v>
      </c>
      <c r="L1394" s="49">
        <f>ROUND((5922*$T$1),0)*1.05</f>
        <v>6218.1</v>
      </c>
      <c r="M1394" s="49">
        <f>ROUND((6116*$T$1),0)*1.05</f>
        <v>6421.8</v>
      </c>
      <c r="N1394" s="49">
        <f>ROUND((6310*$T$1),0)*1.05</f>
        <v>6625.5</v>
      </c>
      <c r="O1394" s="49">
        <f>ROUND((6504*$T$1),0)*1.05</f>
        <v>6829.2000000000007</v>
      </c>
      <c r="P1394" s="49">
        <f>ROUND((6698*$T$1),0)*1.05</f>
        <v>7032.9000000000005</v>
      </c>
      <c r="Q1394" s="49">
        <f>ROUND((6892*$T$1),0)*1.05</f>
        <v>7236.6</v>
      </c>
      <c r="R1394" s="33"/>
      <c r="S1394" s="33"/>
      <c r="T1394" s="33"/>
      <c r="U1394" s="33"/>
    </row>
    <row r="1395" spans="1:21" ht="15" customHeight="1" x14ac:dyDescent="0.3">
      <c r="A1395" s="42"/>
      <c r="B1395" s="43" t="s">
        <v>816</v>
      </c>
      <c r="C1395" s="44" t="s">
        <v>45</v>
      </c>
      <c r="D1395" s="45" t="s">
        <v>476</v>
      </c>
      <c r="E1395" s="46" t="s">
        <v>47</v>
      </c>
      <c r="F1395" s="47">
        <v>1.5</v>
      </c>
      <c r="G1395" s="46" t="s">
        <v>48</v>
      </c>
      <c r="H1395" s="47">
        <v>0.98</v>
      </c>
      <c r="I1395" s="48">
        <v>15</v>
      </c>
      <c r="J1395" s="49">
        <f>ROUND((5654*$T$1),0)*1.05</f>
        <v>5936.7</v>
      </c>
      <c r="K1395" s="49">
        <f>ROUND((6015*$T$1),0)*1.05</f>
        <v>6315.75</v>
      </c>
      <c r="L1395" s="49">
        <f>ROUND((6218*$T$1),0)*1.05</f>
        <v>6528.9000000000005</v>
      </c>
      <c r="M1395" s="49">
        <f>ROUND((6421*$T$1),0)*1.05</f>
        <v>6742.05</v>
      </c>
      <c r="N1395" s="49">
        <f>ROUND((6625*$T$1),0)*1.05</f>
        <v>6956.25</v>
      </c>
      <c r="O1395" s="49">
        <f>ROUND((6829*$T$1),0)*1.05</f>
        <v>7170.4500000000007</v>
      </c>
      <c r="P1395" s="49">
        <f>ROUND((7033*$T$1),0)*1.05</f>
        <v>7384.6500000000005</v>
      </c>
      <c r="Q1395" s="49">
        <f>ROUND((7237*$T$1),0)*1.05</f>
        <v>7598.85</v>
      </c>
      <c r="R1395" s="33"/>
      <c r="S1395" s="33"/>
      <c r="T1395" s="33"/>
      <c r="U1395" s="33"/>
    </row>
    <row r="1396" spans="1:21" ht="15" customHeight="1" x14ac:dyDescent="0.3">
      <c r="A1396" s="42"/>
      <c r="B1396" s="43" t="s">
        <v>817</v>
      </c>
      <c r="C1396" s="44" t="s">
        <v>45</v>
      </c>
      <c r="D1396" s="45" t="s">
        <v>474</v>
      </c>
      <c r="E1396" s="46" t="s">
        <v>47</v>
      </c>
      <c r="F1396" s="47">
        <v>1.5</v>
      </c>
      <c r="G1396" s="46" t="s">
        <v>48</v>
      </c>
      <c r="H1396" s="47">
        <v>0.98</v>
      </c>
      <c r="I1396" s="48">
        <v>15.5</v>
      </c>
      <c r="J1396" s="49">
        <f>ROUND((5937*$T$1),0)*1.05</f>
        <v>6233.85</v>
      </c>
      <c r="K1396" s="49">
        <f>ROUND((6315*$T$1),0)*1.05</f>
        <v>6630.75</v>
      </c>
      <c r="L1396" s="49">
        <f>ROUND((6530*$T$1),0)*1.05</f>
        <v>6856.5</v>
      </c>
      <c r="M1396" s="49">
        <f>ROUND((6743*$T$1),0)*1.05</f>
        <v>7080.1500000000005</v>
      </c>
      <c r="N1396" s="49">
        <f>ROUND((6956*$T$1),0)*1.05</f>
        <v>7303.8</v>
      </c>
      <c r="O1396" s="49">
        <f>ROUND((7171*$T$1),0)*1.05</f>
        <v>7529.55</v>
      </c>
      <c r="P1396" s="49">
        <f>ROUND((7386*$T$1),0)*1.05</f>
        <v>7755.3</v>
      </c>
      <c r="Q1396" s="49">
        <f>ROUND((7601*$T$1),0)*1.05</f>
        <v>7981.05</v>
      </c>
      <c r="R1396" s="33"/>
      <c r="S1396" s="33"/>
      <c r="T1396" s="33"/>
      <c r="U1396" s="33"/>
    </row>
    <row r="1397" spans="1:21" ht="15" customHeight="1" x14ac:dyDescent="0.3">
      <c r="A1397" s="42"/>
      <c r="B1397" s="43" t="s">
        <v>818</v>
      </c>
      <c r="C1397" s="44" t="s">
        <v>45</v>
      </c>
      <c r="D1397" s="45" t="s">
        <v>819</v>
      </c>
      <c r="E1397" s="46" t="s">
        <v>47</v>
      </c>
      <c r="F1397" s="47">
        <v>1.5</v>
      </c>
      <c r="G1397" s="46" t="s">
        <v>48</v>
      </c>
      <c r="H1397" s="47">
        <v>0.98</v>
      </c>
      <c r="I1397" s="48">
        <v>16</v>
      </c>
      <c r="J1397" s="49">
        <f>ROUND((6234*$T$1),0)*1.05</f>
        <v>6545.7000000000007</v>
      </c>
      <c r="K1397" s="49">
        <f>ROUND((6632*$T$1),0)*1.05</f>
        <v>6963.6</v>
      </c>
      <c r="L1397" s="49">
        <f>ROUND((6856*$T$1),0)*1.05</f>
        <v>7198.8</v>
      </c>
      <c r="M1397" s="49">
        <f>ROUND((7080*$T$1),0)*1.05</f>
        <v>7434</v>
      </c>
      <c r="N1397" s="49">
        <f>ROUND((7304*$T$1),0)*1.05</f>
        <v>7669.2000000000007</v>
      </c>
      <c r="O1397" s="49">
        <f>ROUND((7530*$T$1),0)*1.05</f>
        <v>7906.5</v>
      </c>
      <c r="P1397" s="49">
        <f>ROUND((7756*$T$1),0)*1.05</f>
        <v>8143.8</v>
      </c>
      <c r="Q1397" s="49">
        <f>ROUND((7982*$T$1),0)*1.05</f>
        <v>8381.1</v>
      </c>
      <c r="R1397" s="33"/>
      <c r="S1397" s="33"/>
      <c r="T1397" s="33"/>
      <c r="U1397" s="33"/>
    </row>
    <row r="1398" spans="1:21" ht="15" customHeight="1" x14ac:dyDescent="0.3">
      <c r="A1398" s="42"/>
      <c r="B1398" s="43" t="s">
        <v>820</v>
      </c>
      <c r="C1398" s="44" t="s">
        <v>45</v>
      </c>
      <c r="D1398" s="45" t="s">
        <v>821</v>
      </c>
      <c r="E1398" s="46" t="s">
        <v>47</v>
      </c>
      <c r="F1398" s="47">
        <v>1.5</v>
      </c>
      <c r="G1398" s="46" t="s">
        <v>48</v>
      </c>
      <c r="H1398" s="47">
        <v>0.98</v>
      </c>
      <c r="I1398" s="48">
        <v>16.5</v>
      </c>
      <c r="J1398" s="49">
        <f>ROUND((6545*$T$1),0)*1.05</f>
        <v>6872.25</v>
      </c>
      <c r="K1398" s="49">
        <f>ROUND((6963*$T$1),0)*1.05</f>
        <v>7311.1500000000005</v>
      </c>
      <c r="L1398" s="49">
        <f>ROUND((7199*$T$1),0)*1.05</f>
        <v>7558.9500000000007</v>
      </c>
      <c r="M1398" s="49">
        <f>ROUND((7433*$T$1),0)*1.05</f>
        <v>7804.6500000000005</v>
      </c>
      <c r="N1398" s="49">
        <f>ROUND((7669*$T$1),0)*1.05</f>
        <v>8052.4500000000007</v>
      </c>
      <c r="O1398" s="49">
        <f>ROUND((7906*$T$1),0)*1.05</f>
        <v>8301.3000000000011</v>
      </c>
      <c r="P1398" s="49">
        <f>ROUND((8143*$T$1),0)*1.05</f>
        <v>8550.15</v>
      </c>
      <c r="Q1398" s="49">
        <f>ROUND((8380*$T$1),0)*1.05</f>
        <v>8799</v>
      </c>
      <c r="R1398" s="33"/>
      <c r="S1398" s="33"/>
      <c r="T1398" s="33"/>
      <c r="U1398" s="33"/>
    </row>
    <row r="1399" spans="1:21" ht="15" customHeight="1" x14ac:dyDescent="0.3">
      <c r="A1399" s="42"/>
      <c r="B1399" s="43"/>
      <c r="C1399" s="44"/>
      <c r="D1399" s="45"/>
      <c r="E1399" s="46"/>
      <c r="F1399" s="47"/>
      <c r="G1399" s="46"/>
      <c r="H1399" s="47"/>
      <c r="I1399" s="48"/>
      <c r="J1399" s="49"/>
      <c r="K1399" s="49"/>
      <c r="L1399" s="49"/>
      <c r="M1399" s="49"/>
      <c r="N1399" s="49"/>
      <c r="O1399" s="49"/>
      <c r="P1399" s="49"/>
      <c r="Q1399" s="49"/>
      <c r="R1399" s="33"/>
      <c r="S1399" s="33"/>
      <c r="T1399" s="33"/>
      <c r="U1399" s="33"/>
    </row>
    <row r="1400" spans="1:21" ht="15" customHeight="1" x14ac:dyDescent="0.3">
      <c r="A1400" s="42"/>
      <c r="B1400" s="43" t="s">
        <v>822</v>
      </c>
      <c r="C1400" s="44" t="s">
        <v>45</v>
      </c>
      <c r="D1400" s="45" t="s">
        <v>474</v>
      </c>
      <c r="E1400" s="46" t="s">
        <v>47</v>
      </c>
      <c r="F1400" s="47">
        <v>1.5</v>
      </c>
      <c r="G1400" s="46" t="s">
        <v>48</v>
      </c>
      <c r="H1400" s="47">
        <v>0.98</v>
      </c>
      <c r="I1400" s="48">
        <v>15</v>
      </c>
      <c r="J1400" s="49">
        <f>ROUND((4557*$T$1),0)*1.05</f>
        <v>4784.8500000000004</v>
      </c>
      <c r="K1400" s="49">
        <f>ROUND((4848*$T$1),0)*1.05</f>
        <v>5090.4000000000005</v>
      </c>
      <c r="L1400" s="49">
        <f>ROUND((4941*$T$1),0)*1.05</f>
        <v>5188.05</v>
      </c>
      <c r="M1400" s="49">
        <f>ROUND((5035*$T$1),0)*1.05</f>
        <v>5286.75</v>
      </c>
      <c r="N1400" s="49">
        <f>ROUND((5128*$T$1),0)*1.05</f>
        <v>5384.4000000000005</v>
      </c>
      <c r="O1400" s="49">
        <f>ROUND((5221*$T$1),0)*1.05</f>
        <v>5482.05</v>
      </c>
      <c r="P1400" s="49">
        <f>ROUND((5314*$T$1),0)*1.05</f>
        <v>5579.7</v>
      </c>
      <c r="Q1400" s="49">
        <f>ROUND((5407*$T$1),0)*1.05</f>
        <v>5677.35</v>
      </c>
      <c r="R1400" s="33"/>
      <c r="S1400" s="33"/>
      <c r="T1400" s="33"/>
      <c r="U1400" s="33"/>
    </row>
    <row r="1401" spans="1:21" ht="15" customHeight="1" x14ac:dyDescent="0.3">
      <c r="A1401" s="42"/>
      <c r="B1401" s="43"/>
      <c r="C1401" s="44"/>
      <c r="D1401" s="45"/>
      <c r="E1401" s="46"/>
      <c r="F1401" s="47"/>
      <c r="G1401" s="46"/>
      <c r="H1401" s="47"/>
      <c r="I1401" s="48"/>
      <c r="J1401" s="49"/>
      <c r="K1401" s="49"/>
      <c r="L1401" s="49"/>
      <c r="M1401" s="49"/>
      <c r="N1401" s="49"/>
      <c r="O1401" s="49"/>
      <c r="P1401" s="49"/>
      <c r="Q1401" s="49"/>
    </row>
    <row r="1402" spans="1:21" ht="15" customHeight="1" x14ac:dyDescent="0.3">
      <c r="A1402" s="42"/>
      <c r="B1402" s="126" t="s">
        <v>418</v>
      </c>
      <c r="C1402" s="98"/>
      <c r="D1402" s="99"/>
      <c r="E1402" s="99"/>
      <c r="F1402" s="99"/>
      <c r="G1402" s="99"/>
      <c r="H1402" s="99"/>
      <c r="I1402" s="100"/>
      <c r="J1402" s="101"/>
      <c r="K1402" s="101"/>
      <c r="L1402" s="101"/>
      <c r="M1402" s="101"/>
      <c r="N1402" s="101"/>
      <c r="O1402" s="101"/>
      <c r="P1402" s="101"/>
      <c r="Q1402" s="101"/>
    </row>
    <row r="1403" spans="1:21" ht="15" customHeight="1" x14ac:dyDescent="0.3">
      <c r="A1403" s="42"/>
      <c r="B1403" s="59"/>
      <c r="C1403" s="59" t="s">
        <v>511</v>
      </c>
      <c r="D1403" s="59"/>
      <c r="E1403" s="59"/>
      <c r="F1403" s="59"/>
      <c r="G1403" s="59"/>
      <c r="H1403" s="59"/>
      <c r="I1403" s="61"/>
      <c r="J1403" s="62"/>
      <c r="K1403" s="62"/>
      <c r="L1403" s="62"/>
      <c r="M1403" s="62"/>
      <c r="N1403" s="62"/>
      <c r="O1403" s="62"/>
      <c r="P1403" s="62"/>
      <c r="Q1403" s="62"/>
    </row>
    <row r="1405" spans="1:21" ht="29.1" customHeight="1" x14ac:dyDescent="0.25">
      <c r="A1405" s="127" t="s">
        <v>823</v>
      </c>
      <c r="B1405" s="77"/>
      <c r="C1405" s="187" t="s">
        <v>41</v>
      </c>
      <c r="D1405" s="187"/>
      <c r="E1405" s="187"/>
      <c r="F1405" s="187"/>
      <c r="G1405" s="187"/>
      <c r="H1405" s="187"/>
      <c r="I1405" s="78" t="s">
        <v>42</v>
      </c>
      <c r="J1405" s="41" t="s">
        <v>43</v>
      </c>
      <c r="K1405" s="41">
        <v>1000</v>
      </c>
      <c r="L1405" s="41">
        <v>2000</v>
      </c>
      <c r="M1405" s="41">
        <v>3000</v>
      </c>
      <c r="N1405" s="41">
        <v>4000</v>
      </c>
      <c r="O1405" s="41">
        <v>5000</v>
      </c>
      <c r="P1405" s="41">
        <v>6000</v>
      </c>
      <c r="Q1405" s="41">
        <v>7000</v>
      </c>
    </row>
    <row r="1406" spans="1:21" ht="15" customHeight="1" x14ac:dyDescent="0.3">
      <c r="A1406" s="42"/>
      <c r="B1406" s="43" t="s">
        <v>824</v>
      </c>
      <c r="C1406" s="44" t="s">
        <v>45</v>
      </c>
      <c r="D1406" s="159">
        <v>1.4</v>
      </c>
      <c r="E1406" s="46" t="s">
        <v>47</v>
      </c>
      <c r="F1406" s="47">
        <v>1</v>
      </c>
      <c r="G1406" s="46" t="s">
        <v>48</v>
      </c>
      <c r="H1406" s="47">
        <v>0.8</v>
      </c>
      <c r="I1406" s="48">
        <v>10</v>
      </c>
      <c r="J1406" s="49">
        <f>ROUND((4607*$T$1),0)*1.05</f>
        <v>4837.3500000000004</v>
      </c>
      <c r="K1406" s="49">
        <f>ROUND((4900*$T$1),0)*1.05</f>
        <v>5145</v>
      </c>
      <c r="L1406" s="49">
        <f>ROUND((5244*$T$1),0)*1.05</f>
        <v>5506.2</v>
      </c>
      <c r="M1406" s="49">
        <f>ROUND((5611*$T$1),0)*1.05</f>
        <v>5891.55</v>
      </c>
      <c r="N1406" s="49">
        <f>ROUND((6004*$T$1),0)*1.05</f>
        <v>6304.2</v>
      </c>
      <c r="O1406" s="49">
        <f>ROUND((6424*$T$1),0)*1.05</f>
        <v>6745.2000000000007</v>
      </c>
      <c r="P1406" s="49">
        <f>ROUND((6817*$T$1),0)*1.05</f>
        <v>7157.85</v>
      </c>
      <c r="Q1406" s="49">
        <f>ROUND((7211*$T$1),0)*1.05</f>
        <v>7571.55</v>
      </c>
      <c r="R1406" s="33"/>
      <c r="S1406" s="33"/>
      <c r="T1406" s="33"/>
      <c r="U1406" s="33"/>
    </row>
    <row r="1407" spans="1:21" ht="15" customHeight="1" x14ac:dyDescent="0.3">
      <c r="A1407" s="42"/>
      <c r="B1407" s="43" t="s">
        <v>825</v>
      </c>
      <c r="C1407" s="44" t="s">
        <v>45</v>
      </c>
      <c r="D1407" s="159">
        <v>1.5</v>
      </c>
      <c r="E1407" s="46" t="s">
        <v>47</v>
      </c>
      <c r="F1407" s="47">
        <v>1</v>
      </c>
      <c r="G1407" s="46" t="s">
        <v>48</v>
      </c>
      <c r="H1407" s="47">
        <v>0.8</v>
      </c>
      <c r="I1407" s="48">
        <v>11</v>
      </c>
      <c r="J1407" s="49">
        <f>ROUND((4850*$T$1),0)*1.05</f>
        <v>5092.5</v>
      </c>
      <c r="K1407" s="49">
        <f>ROUND((5159*$T$1),0)*1.05</f>
        <v>5416.95</v>
      </c>
      <c r="L1407" s="49">
        <f>ROUND((5520*$T$1),0)*1.05</f>
        <v>5796</v>
      </c>
      <c r="M1407" s="49">
        <f>ROUND((5906*$T$1),0)*1.05</f>
        <v>6201.3</v>
      </c>
      <c r="N1407" s="49">
        <f>ROUND((6319*$T$1),0)*1.05</f>
        <v>6634.9500000000007</v>
      </c>
      <c r="O1407" s="49">
        <f>ROUND((6762*$T$1),0)*1.05</f>
        <v>7100.1</v>
      </c>
      <c r="P1407" s="49">
        <f>ROUND((7175*$T$1),0)*1.05</f>
        <v>7533.75</v>
      </c>
      <c r="Q1407" s="49">
        <f>ROUND((7588*$T$1),0)*1.05</f>
        <v>7967.4000000000005</v>
      </c>
      <c r="R1407" s="33"/>
      <c r="S1407" s="33"/>
      <c r="T1407" s="33"/>
      <c r="U1407" s="33"/>
    </row>
    <row r="1408" spans="1:21" ht="15" customHeight="1" x14ac:dyDescent="0.3">
      <c r="A1408" s="42"/>
      <c r="B1408" s="43" t="s">
        <v>826</v>
      </c>
      <c r="C1408" s="44" t="s">
        <v>45</v>
      </c>
      <c r="D1408" s="159">
        <v>1.9</v>
      </c>
      <c r="E1408" s="46" t="s">
        <v>47</v>
      </c>
      <c r="F1408" s="47">
        <v>1</v>
      </c>
      <c r="G1408" s="46" t="s">
        <v>48</v>
      </c>
      <c r="H1408" s="47">
        <v>0.8</v>
      </c>
      <c r="I1408" s="48">
        <v>12</v>
      </c>
      <c r="J1408" s="49">
        <f>ROUND((5105*$T$1),0)*1.05</f>
        <v>5360.25</v>
      </c>
      <c r="K1408" s="49">
        <f>ROUND((5430*$T$1),0)*1.05</f>
        <v>5701.5</v>
      </c>
      <c r="L1408" s="49">
        <f>ROUND((5820*$T$1),0)*1.05</f>
        <v>6111</v>
      </c>
      <c r="M1408" s="49">
        <f>ROUND((6217*$T$1),0)*1.05</f>
        <v>6527.85</v>
      </c>
      <c r="N1408" s="49">
        <f>ROUND((6653*$T$1),0)*1.05</f>
        <v>6985.6500000000005</v>
      </c>
      <c r="O1408" s="49">
        <f>ROUND((7117*$T$1),0)*1.05</f>
        <v>7472.85</v>
      </c>
      <c r="P1408" s="49">
        <f>ROUND((7553*$T$1),0)*1.05</f>
        <v>7930.6500000000005</v>
      </c>
      <c r="Q1408" s="49">
        <f>ROUND((8018*$T$1),0)*1.05</f>
        <v>8418.9</v>
      </c>
      <c r="R1408" s="33"/>
      <c r="S1408" s="33"/>
      <c r="T1408" s="33"/>
      <c r="U1408" s="33"/>
    </row>
    <row r="1409" spans="1:21" ht="15" customHeight="1" x14ac:dyDescent="0.3">
      <c r="A1409" s="42"/>
      <c r="B1409" s="43" t="s">
        <v>827</v>
      </c>
      <c r="C1409" s="44" t="s">
        <v>45</v>
      </c>
      <c r="D1409" s="159">
        <v>2.1</v>
      </c>
      <c r="E1409" s="46" t="s">
        <v>47</v>
      </c>
      <c r="F1409" s="47">
        <v>1</v>
      </c>
      <c r="G1409" s="46" t="s">
        <v>48</v>
      </c>
      <c r="H1409" s="47">
        <v>0.8</v>
      </c>
      <c r="I1409" s="48">
        <v>13</v>
      </c>
      <c r="J1409" s="49">
        <f>ROUND((5373*$T$1),0)*1.05</f>
        <v>5641.6500000000005</v>
      </c>
      <c r="K1409" s="49">
        <f>ROUND((5716*$T$1),0)*1.05</f>
        <v>6001.8</v>
      </c>
      <c r="L1409" s="49">
        <f>ROUND((6116*$T$1),0)*1.05</f>
        <v>6421.8</v>
      </c>
      <c r="M1409" s="49">
        <f>ROUND((6545*$T$1),0)*1.05</f>
        <v>6872.25</v>
      </c>
      <c r="N1409" s="49">
        <f>ROUND((7002*$T$1),0)*1.05</f>
        <v>7352.1</v>
      </c>
      <c r="O1409" s="49">
        <f>ROUND((7492*$T$1),0)*1.05</f>
        <v>7866.6</v>
      </c>
      <c r="P1409" s="49">
        <f>ROUND((7950*$T$1),0)*1.05</f>
        <v>8347.5</v>
      </c>
      <c r="Q1409" s="49">
        <f>ROUND((8440*$T$1),0)*1.05</f>
        <v>8862</v>
      </c>
      <c r="R1409" s="33"/>
      <c r="S1409" s="33"/>
      <c r="T1409" s="33"/>
      <c r="U1409" s="33"/>
    </row>
    <row r="1410" spans="1:21" ht="15" customHeight="1" x14ac:dyDescent="0.3">
      <c r="A1410" s="42"/>
      <c r="B1410" s="43" t="s">
        <v>828</v>
      </c>
      <c r="C1410" s="44" t="s">
        <v>45</v>
      </c>
      <c r="D1410" s="159">
        <v>2.2999999999999998</v>
      </c>
      <c r="E1410" s="46" t="s">
        <v>47</v>
      </c>
      <c r="F1410" s="47">
        <v>1</v>
      </c>
      <c r="G1410" s="46" t="s">
        <v>48</v>
      </c>
      <c r="H1410" s="47">
        <v>0.8</v>
      </c>
      <c r="I1410" s="48">
        <v>14</v>
      </c>
      <c r="J1410" s="49">
        <f>ROUND((5656*$T$1),0)*1.05</f>
        <v>5938.8</v>
      </c>
      <c r="K1410" s="49">
        <f>ROUND((6017*$T$1),0)*1.05</f>
        <v>6317.85</v>
      </c>
      <c r="L1410" s="49">
        <f>ROUND((6438*$T$1),0)*1.05</f>
        <v>6759.9000000000005</v>
      </c>
      <c r="M1410" s="49">
        <f>ROUND((6889*$T$1),0)*1.05</f>
        <v>7233.4500000000007</v>
      </c>
      <c r="N1410" s="49">
        <f>ROUND((7370*$T$1),0)*1.05</f>
        <v>7738.5</v>
      </c>
      <c r="O1410" s="49">
        <f>ROUND((7887*$T$1),0)*1.05</f>
        <v>8281.35</v>
      </c>
      <c r="P1410" s="49">
        <f>ROUND((8369*$T$1),0)*1.05</f>
        <v>8787.4500000000007</v>
      </c>
      <c r="Q1410" s="49">
        <f>ROUND((8885*$T$1),0)*1.05</f>
        <v>9329.25</v>
      </c>
      <c r="R1410" s="33"/>
      <c r="S1410" s="33"/>
      <c r="T1410" s="33"/>
      <c r="U1410" s="33"/>
    </row>
    <row r="1411" spans="1:21" ht="15" customHeight="1" x14ac:dyDescent="0.3">
      <c r="A1411" s="42"/>
      <c r="B1411" s="43" t="s">
        <v>829</v>
      </c>
      <c r="C1411" s="44" t="s">
        <v>45</v>
      </c>
      <c r="D1411" s="159">
        <v>2.5</v>
      </c>
      <c r="E1411" s="46" t="s">
        <v>47</v>
      </c>
      <c r="F1411" s="47">
        <v>1</v>
      </c>
      <c r="G1411" s="46" t="s">
        <v>48</v>
      </c>
      <c r="H1411" s="47">
        <v>0.8</v>
      </c>
      <c r="I1411" s="48">
        <v>15</v>
      </c>
      <c r="J1411" s="49">
        <f>ROUND((5939*$T$1),0)*1.05</f>
        <v>6235.95</v>
      </c>
      <c r="K1411" s="49">
        <f>ROUND((6318*$T$1),0)*1.05</f>
        <v>6633.9000000000005</v>
      </c>
      <c r="L1411" s="49">
        <f>ROUND((6760*$T$1),0)*1.05</f>
        <v>7098</v>
      </c>
      <c r="M1411" s="49">
        <f>ROUND((7234*$T$1),0)*1.05</f>
        <v>7595.7000000000007</v>
      </c>
      <c r="N1411" s="49">
        <f>ROUND((7740*$T$1),0)*1.05</f>
        <v>8127</v>
      </c>
      <c r="O1411" s="49">
        <f>ROUND((8281*$T$1),0)*1.05</f>
        <v>8695.0500000000011</v>
      </c>
      <c r="P1411" s="49">
        <f>ROUND((8787*$T$1),0)*1.05</f>
        <v>9226.35</v>
      </c>
      <c r="Q1411" s="49">
        <f>ROUND((9329*$T$1),0)*1.05</f>
        <v>9795.4500000000007</v>
      </c>
      <c r="R1411" s="33"/>
      <c r="S1411" s="33"/>
      <c r="T1411" s="33"/>
      <c r="U1411" s="33"/>
    </row>
    <row r="1412" spans="1:21" ht="15" customHeight="1" x14ac:dyDescent="0.3">
      <c r="A1412" s="42"/>
      <c r="B1412" s="43"/>
      <c r="C1412" s="44"/>
      <c r="D1412" s="45"/>
      <c r="E1412" s="46"/>
      <c r="F1412" s="47"/>
      <c r="G1412" s="46"/>
      <c r="H1412" s="47"/>
      <c r="I1412" s="48"/>
      <c r="J1412" s="49"/>
      <c r="K1412" s="49"/>
      <c r="L1412" s="49"/>
      <c r="M1412" s="49"/>
      <c r="N1412" s="49"/>
      <c r="O1412" s="49"/>
      <c r="P1412" s="49"/>
      <c r="Q1412" s="49"/>
    </row>
    <row r="1413" spans="1:21" ht="15" customHeight="1" x14ac:dyDescent="0.3">
      <c r="A1413" s="42"/>
      <c r="B1413" s="126" t="s">
        <v>418</v>
      </c>
      <c r="C1413" s="98"/>
      <c r="D1413" s="99"/>
      <c r="E1413" s="99"/>
      <c r="F1413" s="99"/>
      <c r="G1413" s="99"/>
      <c r="H1413" s="99"/>
      <c r="I1413" s="100"/>
      <c r="J1413" s="101"/>
      <c r="K1413" s="101"/>
      <c r="L1413" s="101"/>
      <c r="M1413" s="101"/>
      <c r="N1413" s="101"/>
      <c r="O1413" s="101"/>
      <c r="P1413" s="101"/>
      <c r="Q1413" s="101"/>
    </row>
    <row r="1414" spans="1:21" ht="15" customHeight="1" x14ac:dyDescent="0.3">
      <c r="A1414" s="42"/>
      <c r="B1414" s="97"/>
      <c r="C1414" s="98"/>
      <c r="D1414" s="99"/>
      <c r="E1414" s="99"/>
      <c r="F1414" s="99"/>
      <c r="G1414" s="99"/>
      <c r="H1414" s="99"/>
      <c r="I1414" s="100"/>
      <c r="J1414" s="101"/>
      <c r="K1414" s="101"/>
      <c r="L1414" s="101"/>
      <c r="M1414" s="101"/>
      <c r="N1414" s="101"/>
      <c r="O1414" s="101"/>
      <c r="P1414" s="101"/>
      <c r="Q1414" s="101"/>
    </row>
    <row r="1415" spans="1:21" ht="15" customHeight="1" x14ac:dyDescent="0.3">
      <c r="A1415" s="42"/>
      <c r="B1415" s="59"/>
      <c r="C1415" s="59" t="s">
        <v>511</v>
      </c>
      <c r="D1415" s="59"/>
      <c r="E1415" s="59"/>
      <c r="F1415" s="59"/>
      <c r="G1415" s="59"/>
      <c r="H1415" s="59"/>
      <c r="I1415" s="61"/>
      <c r="J1415" s="62"/>
      <c r="K1415" s="62"/>
      <c r="L1415" s="62"/>
      <c r="M1415" s="62"/>
      <c r="N1415" s="62"/>
      <c r="O1415" s="62"/>
      <c r="P1415" s="62"/>
      <c r="Q1415" s="62"/>
    </row>
    <row r="1417" spans="1:21" ht="29.1" customHeight="1" x14ac:dyDescent="0.25">
      <c r="A1417" s="127" t="s">
        <v>830</v>
      </c>
      <c r="B1417" s="77"/>
      <c r="C1417" s="187" t="s">
        <v>831</v>
      </c>
      <c r="D1417" s="187"/>
      <c r="E1417" s="187"/>
      <c r="F1417" s="187"/>
      <c r="G1417" s="187"/>
      <c r="H1417" s="187"/>
      <c r="I1417" s="78" t="s">
        <v>42</v>
      </c>
      <c r="J1417" s="41" t="s">
        <v>43</v>
      </c>
      <c r="K1417" s="41">
        <v>1000</v>
      </c>
      <c r="L1417" s="41">
        <v>2000</v>
      </c>
      <c r="M1417" s="41">
        <v>3000</v>
      </c>
      <c r="N1417" s="41">
        <v>4000</v>
      </c>
      <c r="O1417" s="41">
        <v>5000</v>
      </c>
      <c r="P1417" s="41">
        <v>6000</v>
      </c>
      <c r="Q1417" s="41">
        <v>7000</v>
      </c>
    </row>
    <row r="1418" spans="1:21" ht="15" customHeight="1" x14ac:dyDescent="0.3">
      <c r="A1418" s="42"/>
      <c r="B1418" s="43" t="s">
        <v>832</v>
      </c>
      <c r="C1418" s="44" t="s">
        <v>45</v>
      </c>
      <c r="D1418" s="159"/>
      <c r="E1418" s="46" t="s">
        <v>47</v>
      </c>
      <c r="F1418" s="47"/>
      <c r="G1418" s="46" t="s">
        <v>48</v>
      </c>
      <c r="H1418" s="47"/>
      <c r="I1418" s="48">
        <v>8</v>
      </c>
      <c r="J1418" s="49">
        <f>ROUND((4157*$T$1),0)*1.05</f>
        <v>4364.8500000000004</v>
      </c>
      <c r="K1418" s="49">
        <f>ROUND((4400*$T$1),0)*1.05</f>
        <v>4620</v>
      </c>
      <c r="L1418" s="49">
        <f>ROUND((4445*$T$1),0)*1.05</f>
        <v>4667.25</v>
      </c>
      <c r="M1418" s="49">
        <f>ROUND((4490*$T$1),0)*1.05</f>
        <v>4714.5</v>
      </c>
      <c r="N1418" s="49">
        <f>ROUND((4535*$T$1),0)*1.05</f>
        <v>4761.75</v>
      </c>
      <c r="O1418" s="49">
        <f>ROUND((4580*$T$1),0)*1.05</f>
        <v>4809</v>
      </c>
      <c r="P1418" s="49">
        <f>ROUND((4625*$T$1),0)*1.05</f>
        <v>4856.25</v>
      </c>
      <c r="Q1418" s="49">
        <f>ROUND((4670*$T$1),0)*1.05</f>
        <v>4903.5</v>
      </c>
    </row>
    <row r="1419" spans="1:21" ht="15" customHeight="1" x14ac:dyDescent="0.3">
      <c r="A1419" s="42"/>
      <c r="B1419" s="43" t="s">
        <v>833</v>
      </c>
      <c r="C1419" s="44" t="s">
        <v>45</v>
      </c>
      <c r="D1419" s="159"/>
      <c r="E1419" s="46" t="s">
        <v>47</v>
      </c>
      <c r="F1419" s="47"/>
      <c r="G1419" s="46" t="s">
        <v>48</v>
      </c>
      <c r="H1419" s="47"/>
      <c r="I1419" s="48">
        <v>9</v>
      </c>
      <c r="J1419" s="49">
        <f>ROUND((4220*$T$1),0)*1.05</f>
        <v>4431</v>
      </c>
      <c r="K1419" s="49">
        <f>ROUND((4650*$T$1),0)*1.05</f>
        <v>4882.5</v>
      </c>
      <c r="L1419" s="49">
        <f>ROUND((4705*$T$1),0)*1.05</f>
        <v>4940.25</v>
      </c>
      <c r="M1419" s="49">
        <f>ROUND((4760*$T$1),0)*1.05</f>
        <v>4998</v>
      </c>
      <c r="N1419" s="49">
        <f>ROUND((4815*$T$1),0)*1.05</f>
        <v>5055.75</v>
      </c>
      <c r="O1419" s="49">
        <f>ROUND((4870*$T$1),0)*1.05</f>
        <v>5113.5</v>
      </c>
      <c r="P1419" s="49">
        <f>ROUND((4925*$T$1),0)*1.05</f>
        <v>5171.25</v>
      </c>
      <c r="Q1419" s="49">
        <f>ROUND((4980*$T$1),0)*1.05</f>
        <v>5229</v>
      </c>
    </row>
    <row r="1420" spans="1:21" ht="15" customHeight="1" x14ac:dyDescent="0.3">
      <c r="A1420" s="42"/>
      <c r="B1420" s="43" t="s">
        <v>834</v>
      </c>
      <c r="C1420" s="44" t="s">
        <v>45</v>
      </c>
      <c r="D1420" s="159"/>
      <c r="E1420" s="46" t="s">
        <v>47</v>
      </c>
      <c r="F1420" s="47"/>
      <c r="G1420" s="46" t="s">
        <v>48</v>
      </c>
      <c r="H1420" s="47"/>
      <c r="I1420" s="48">
        <v>9</v>
      </c>
      <c r="J1420" s="49">
        <f>ROUND((4630*$T$1),0)*1.05</f>
        <v>4861.5</v>
      </c>
      <c r="K1420" s="49">
        <f>ROUND((4860*$T$1),0)*1.05</f>
        <v>5103</v>
      </c>
      <c r="L1420" s="49">
        <f>ROUND((4920*$T$1),0)*1.05</f>
        <v>5166</v>
      </c>
      <c r="M1420" s="49">
        <f>ROUND((4980*$T$1),0)*1.05</f>
        <v>5229</v>
      </c>
      <c r="N1420" s="49">
        <f>ROUND((5040*$T$1),0)*1.05</f>
        <v>5292</v>
      </c>
      <c r="O1420" s="49">
        <f>ROUND((5100*$T$1),0)*1.05</f>
        <v>5355</v>
      </c>
      <c r="P1420" s="49">
        <f>ROUND((5160*$T$1),0)*1.05</f>
        <v>5418</v>
      </c>
      <c r="Q1420" s="49">
        <f>ROUND((5220*$T$1),0)*1.05</f>
        <v>5481</v>
      </c>
    </row>
    <row r="1421" spans="1:21" ht="15" customHeight="1" x14ac:dyDescent="0.3">
      <c r="A1421" s="42"/>
      <c r="B1421" s="43" t="s">
        <v>835</v>
      </c>
      <c r="C1421" s="44" t="s">
        <v>45</v>
      </c>
      <c r="D1421" s="159"/>
      <c r="E1421" s="46" t="s">
        <v>47</v>
      </c>
      <c r="F1421" s="47"/>
      <c r="G1421" s="46" t="s">
        <v>48</v>
      </c>
      <c r="H1421" s="47"/>
      <c r="I1421" s="48">
        <v>10</v>
      </c>
      <c r="J1421" s="49">
        <f>ROUND((4890*$T$1),0)*1.05</f>
        <v>5134.5</v>
      </c>
      <c r="K1421" s="49">
        <f>ROUND((5100*$T$1),0)*1.05</f>
        <v>5355</v>
      </c>
      <c r="L1421" s="49">
        <f>ROUND((5165*$T$1),0)*1.05</f>
        <v>5423.25</v>
      </c>
      <c r="M1421" s="49">
        <f>ROUND((5230*$T$1),0)*1.05</f>
        <v>5491.5</v>
      </c>
      <c r="N1421" s="49">
        <f>ROUND((5295*$T$1),0)*1.05</f>
        <v>5559.75</v>
      </c>
      <c r="O1421" s="49">
        <f>ROUND((5360*$T$1),0)*1.05</f>
        <v>5628</v>
      </c>
      <c r="P1421" s="49">
        <f>ROUND((5425*$T$1),0)*1.05</f>
        <v>5696.25</v>
      </c>
      <c r="Q1421" s="49">
        <f>ROUND((5490*$T$1),0)*1.05</f>
        <v>5764.5</v>
      </c>
    </row>
    <row r="1422" spans="1:21" ht="15" customHeight="1" x14ac:dyDescent="0.3">
      <c r="A1422" s="42"/>
      <c r="B1422" s="43" t="s">
        <v>836</v>
      </c>
      <c r="C1422" s="44" t="s">
        <v>45</v>
      </c>
      <c r="D1422" s="159"/>
      <c r="E1422" s="46" t="s">
        <v>47</v>
      </c>
      <c r="F1422" s="47"/>
      <c r="G1422" s="46" t="s">
        <v>48</v>
      </c>
      <c r="H1422" s="47"/>
      <c r="I1422" s="48">
        <v>11</v>
      </c>
      <c r="J1422" s="49">
        <f>ROUND((5010*$T$1),0)*1.05</f>
        <v>5260.5</v>
      </c>
      <c r="K1422" s="49">
        <f>ROUND((5300*$T$1),0)*1.05</f>
        <v>5565</v>
      </c>
      <c r="L1422" s="49">
        <f>ROUND((5370*$T$1),0)*1.05</f>
        <v>5638.5</v>
      </c>
      <c r="M1422" s="49">
        <f>ROUND((5440*$T$1),0)*1.05</f>
        <v>5712</v>
      </c>
      <c r="N1422" s="49">
        <f>ROUND((5510*$T$1),0)*1.05</f>
        <v>5785.5</v>
      </c>
      <c r="O1422" s="49">
        <f>ROUND((5580*$T$1),0)*1.05</f>
        <v>5859</v>
      </c>
      <c r="P1422" s="49">
        <f>ROUND((5650*$T$1),0)*1.05</f>
        <v>5932.5</v>
      </c>
      <c r="Q1422" s="49">
        <f>ROUND((5720*$T$1),0)*1.05</f>
        <v>6006</v>
      </c>
    </row>
    <row r="1423" spans="1:21" ht="15" customHeight="1" x14ac:dyDescent="0.3">
      <c r="A1423" s="42"/>
      <c r="B1423" s="126"/>
      <c r="C1423" s="98"/>
      <c r="D1423" s="99"/>
      <c r="E1423" s="99"/>
      <c r="F1423" s="99"/>
      <c r="G1423" s="99"/>
      <c r="H1423" s="99"/>
      <c r="I1423" s="100"/>
      <c r="J1423" s="101"/>
      <c r="K1423" s="101"/>
      <c r="L1423" s="101"/>
      <c r="M1423" s="101"/>
      <c r="N1423" s="101"/>
      <c r="O1423" s="101"/>
      <c r="P1423" s="101"/>
      <c r="Q1423" s="101"/>
    </row>
    <row r="1424" spans="1:21" ht="15" customHeight="1" x14ac:dyDescent="0.3">
      <c r="A1424" s="42"/>
      <c r="B1424" s="97"/>
      <c r="C1424" s="98"/>
      <c r="D1424" s="99"/>
      <c r="E1424" s="99"/>
      <c r="F1424" s="99"/>
      <c r="G1424" s="99"/>
      <c r="H1424" s="99"/>
      <c r="I1424" s="100"/>
      <c r="J1424" s="101"/>
      <c r="K1424" s="101"/>
      <c r="L1424" s="101"/>
      <c r="M1424" s="87" t="s">
        <v>134</v>
      </c>
      <c r="N1424" s="101"/>
      <c r="O1424" s="101"/>
      <c r="P1424" s="101"/>
      <c r="Q1424" s="101"/>
    </row>
    <row r="1425" spans="1:21" ht="15" customHeight="1" x14ac:dyDescent="0.3">
      <c r="A1425" s="42"/>
      <c r="B1425" s="59"/>
      <c r="C1425" s="59" t="s">
        <v>837</v>
      </c>
      <c r="D1425" s="59"/>
      <c r="E1425" s="59"/>
      <c r="F1425" s="59"/>
      <c r="G1425" s="59"/>
      <c r="H1425" s="59"/>
      <c r="I1425" s="61"/>
      <c r="J1425" s="62"/>
      <c r="K1425" s="62"/>
      <c r="L1425" s="62"/>
      <c r="M1425" s="62"/>
      <c r="N1425" s="62"/>
      <c r="O1425" s="62"/>
      <c r="P1425" s="62"/>
      <c r="Q1425" s="62"/>
    </row>
    <row r="1426" spans="1:21" ht="15" customHeight="1" x14ac:dyDescent="0.25">
      <c r="F1426" s="99"/>
    </row>
    <row r="1427" spans="1:21" ht="29.1" customHeight="1" x14ac:dyDescent="0.25">
      <c r="A1427" s="127" t="s">
        <v>838</v>
      </c>
      <c r="B1427" s="77"/>
      <c r="C1427" s="187" t="s">
        <v>831</v>
      </c>
      <c r="D1427" s="187"/>
      <c r="E1427" s="187"/>
      <c r="F1427" s="187"/>
      <c r="G1427" s="187"/>
      <c r="H1427" s="187"/>
      <c r="I1427" s="78" t="s">
        <v>42</v>
      </c>
      <c r="J1427" s="41" t="s">
        <v>43</v>
      </c>
      <c r="K1427" s="41">
        <v>1000</v>
      </c>
      <c r="L1427" s="41">
        <v>2000</v>
      </c>
      <c r="M1427" s="41">
        <v>3000</v>
      </c>
      <c r="N1427" s="41">
        <v>4000</v>
      </c>
      <c r="O1427" s="41">
        <v>5000</v>
      </c>
      <c r="P1427" s="41">
        <v>6000</v>
      </c>
      <c r="Q1427" s="41">
        <v>7000</v>
      </c>
    </row>
    <row r="1428" spans="1:21" ht="15" customHeight="1" x14ac:dyDescent="0.3">
      <c r="A1428" s="42"/>
      <c r="B1428" s="43" t="s">
        <v>832</v>
      </c>
      <c r="C1428" s="44" t="s">
        <v>45</v>
      </c>
      <c r="D1428" s="159"/>
      <c r="E1428" s="46" t="s">
        <v>47</v>
      </c>
      <c r="F1428" s="47"/>
      <c r="G1428" s="46" t="s">
        <v>48</v>
      </c>
      <c r="H1428" s="47"/>
      <c r="I1428" s="48">
        <v>8</v>
      </c>
      <c r="J1428" s="49">
        <f>ROUND((3779*$T$1),0)*1.05</f>
        <v>3967.9500000000003</v>
      </c>
      <c r="K1428" s="49">
        <f>ROUND((4000*$T$1),0)*1.05</f>
        <v>4200</v>
      </c>
      <c r="L1428" s="49">
        <f>ROUND((4041*$T$1),0)*1.05</f>
        <v>4243.05</v>
      </c>
      <c r="M1428" s="49">
        <f>ROUND((4082*$T$1),0)*1.05</f>
        <v>4286.1000000000004</v>
      </c>
      <c r="N1428" s="49">
        <f>ROUND((4123*$T$1),0)*1.05</f>
        <v>4329.1500000000005</v>
      </c>
      <c r="O1428" s="49">
        <f>ROUND((4164*$T$1),0)*1.05</f>
        <v>4372.2</v>
      </c>
      <c r="P1428" s="49">
        <f>ROUND((4205*$T$1),0)*1.05</f>
        <v>4415.25</v>
      </c>
      <c r="Q1428" s="49">
        <f>ROUND((4245*$T$1),0)*1.05</f>
        <v>4457.25</v>
      </c>
    </row>
    <row r="1429" spans="1:21" ht="15" customHeight="1" x14ac:dyDescent="0.3">
      <c r="A1429" s="42"/>
      <c r="B1429" s="43" t="s">
        <v>833</v>
      </c>
      <c r="C1429" s="44" t="s">
        <v>45</v>
      </c>
      <c r="D1429" s="159"/>
      <c r="E1429" s="46" t="s">
        <v>47</v>
      </c>
      <c r="F1429" s="47"/>
      <c r="G1429" s="46" t="s">
        <v>48</v>
      </c>
      <c r="H1429" s="47"/>
      <c r="I1429" s="48">
        <v>9</v>
      </c>
      <c r="J1429" s="49">
        <f>ROUND((3836*$T$1),0)*1.05</f>
        <v>4027.8</v>
      </c>
      <c r="K1429" s="49">
        <f>ROUND((4227*$T$1),0)*1.05</f>
        <v>4438.3500000000004</v>
      </c>
      <c r="L1429" s="49">
        <f>ROUND((4277*$T$1),0)*1.05</f>
        <v>4490.8500000000004</v>
      </c>
      <c r="M1429" s="49">
        <f>ROUND((4327*$T$1),0)*1.05</f>
        <v>4543.3500000000004</v>
      </c>
      <c r="N1429" s="49">
        <f>ROUND((4377*$T$1),0)*1.05</f>
        <v>4595.8500000000004</v>
      </c>
      <c r="O1429" s="49">
        <f>ROUND((4427*$T$1),0)*1.05</f>
        <v>4648.3500000000004</v>
      </c>
      <c r="P1429" s="49">
        <f>ROUND((4477*$T$1),0)*1.05</f>
        <v>4700.8500000000004</v>
      </c>
      <c r="Q1429" s="49">
        <f>ROUND((4527*$T$1),0)*1.05</f>
        <v>4753.3500000000004</v>
      </c>
    </row>
    <row r="1430" spans="1:21" ht="15" customHeight="1" x14ac:dyDescent="0.3">
      <c r="A1430" s="42"/>
      <c r="B1430" s="43" t="s">
        <v>834</v>
      </c>
      <c r="C1430" s="44" t="s">
        <v>45</v>
      </c>
      <c r="D1430" s="159"/>
      <c r="E1430" s="46" t="s">
        <v>47</v>
      </c>
      <c r="F1430" s="47"/>
      <c r="G1430" s="46" t="s">
        <v>48</v>
      </c>
      <c r="H1430" s="47"/>
      <c r="I1430" s="48">
        <v>9</v>
      </c>
      <c r="J1430" s="49">
        <f>ROUND((4209*$T$1),0)*1.05</f>
        <v>4419.45</v>
      </c>
      <c r="K1430" s="49">
        <f>ROUND((4418*$T$1),0)*1.05</f>
        <v>4638.9000000000005</v>
      </c>
      <c r="L1430" s="49">
        <f>ROUND((4473*$T$1),0)*1.05</f>
        <v>4696.6500000000005</v>
      </c>
      <c r="M1430" s="49">
        <f>ROUND((4527*$T$1),0)*1.05</f>
        <v>4753.3500000000004</v>
      </c>
      <c r="N1430" s="49">
        <f>ROUND((4582*$T$1),0)*1.05</f>
        <v>4811.1000000000004</v>
      </c>
      <c r="O1430" s="49">
        <f>ROUND((4636*$T$1),0)*1.05</f>
        <v>4867.8</v>
      </c>
      <c r="P1430" s="49">
        <f>ROUND((4691*$T$1),0)*1.05</f>
        <v>4925.55</v>
      </c>
      <c r="Q1430" s="49">
        <f>ROUND((4745*$T$1),0)*1.05</f>
        <v>4982.25</v>
      </c>
    </row>
    <row r="1431" spans="1:21" ht="15" customHeight="1" x14ac:dyDescent="0.3">
      <c r="A1431" s="42"/>
      <c r="B1431" s="43" t="s">
        <v>835</v>
      </c>
      <c r="C1431" s="44" t="s">
        <v>45</v>
      </c>
      <c r="D1431" s="159"/>
      <c r="E1431" s="46" t="s">
        <v>47</v>
      </c>
      <c r="F1431" s="47"/>
      <c r="G1431" s="46" t="s">
        <v>48</v>
      </c>
      <c r="H1431" s="47"/>
      <c r="I1431" s="48">
        <v>10</v>
      </c>
      <c r="J1431" s="49">
        <f>ROUND((4445*$T$1),0)*1.05</f>
        <v>4667.25</v>
      </c>
      <c r="K1431" s="49">
        <f>ROUND((4636*$T$1),0)*1.05</f>
        <v>4867.8</v>
      </c>
      <c r="L1431" s="49">
        <f>ROUND((4695*$T$1),0)*1.05</f>
        <v>4929.75</v>
      </c>
      <c r="M1431" s="49">
        <f>ROUND((4755*$T$1),0)*1.05</f>
        <v>4992.75</v>
      </c>
      <c r="N1431" s="49">
        <f>ROUND((4814*$T$1),0)*1.05</f>
        <v>5054.7</v>
      </c>
      <c r="O1431" s="49">
        <f>ROUND((4873*$T$1),0)*1.05</f>
        <v>5116.6500000000005</v>
      </c>
      <c r="P1431" s="49">
        <f>ROUND((4932*$T$1),0)*1.05</f>
        <v>5178.6000000000004</v>
      </c>
      <c r="Q1431" s="49">
        <f>ROUND((4991*$T$1),0)*1.05</f>
        <v>5240.55</v>
      </c>
    </row>
    <row r="1432" spans="1:21" ht="15" customHeight="1" x14ac:dyDescent="0.3">
      <c r="A1432" s="42"/>
      <c r="B1432" s="43" t="s">
        <v>836</v>
      </c>
      <c r="C1432" s="44" t="s">
        <v>45</v>
      </c>
      <c r="D1432" s="159"/>
      <c r="E1432" s="46" t="s">
        <v>47</v>
      </c>
      <c r="F1432" s="47"/>
      <c r="G1432" s="46" t="s">
        <v>48</v>
      </c>
      <c r="H1432" s="47"/>
      <c r="I1432" s="48">
        <v>11</v>
      </c>
      <c r="J1432" s="49">
        <f>ROUND((4555*$T$1),0)*1.05</f>
        <v>4782.75</v>
      </c>
      <c r="K1432" s="49">
        <f>ROUND((4818*$T$1),0)*1.05</f>
        <v>5058.9000000000005</v>
      </c>
      <c r="L1432" s="49">
        <f>ROUND((4882*$T$1),0)*1.05</f>
        <v>5126.1000000000004</v>
      </c>
      <c r="M1432" s="49">
        <f>ROUND((4945*$T$1),0)*1.05</f>
        <v>5192.25</v>
      </c>
      <c r="N1432" s="49">
        <f>ROUND((5009*$T$1),0)*1.05</f>
        <v>5259.45</v>
      </c>
      <c r="O1432" s="49">
        <f>ROUND((5073*$T$1),0)*1.05</f>
        <v>5326.6500000000005</v>
      </c>
      <c r="P1432" s="49">
        <f>ROUND((5136*$T$1),0)*1.05</f>
        <v>5392.8</v>
      </c>
      <c r="Q1432" s="49">
        <f>ROUND((5200*$T$1),0)*1.05</f>
        <v>5460</v>
      </c>
    </row>
    <row r="1433" spans="1:21" ht="15" customHeight="1" x14ac:dyDescent="0.3">
      <c r="A1433" s="42"/>
      <c r="B1433" s="43"/>
      <c r="C1433" s="44"/>
      <c r="D1433" s="45"/>
      <c r="E1433" s="46"/>
      <c r="F1433" s="47"/>
      <c r="G1433" s="46"/>
      <c r="H1433" s="47"/>
      <c r="I1433" s="48"/>
      <c r="J1433" s="49"/>
      <c r="K1433" s="49"/>
      <c r="L1433" s="49"/>
      <c r="M1433" s="49"/>
      <c r="N1433" s="49"/>
      <c r="O1433" s="49"/>
      <c r="P1433" s="49"/>
      <c r="Q1433" s="49"/>
    </row>
    <row r="1434" spans="1:21" ht="15" customHeight="1" x14ac:dyDescent="0.3">
      <c r="A1434" s="42"/>
      <c r="B1434" s="97"/>
      <c r="C1434" s="98"/>
      <c r="D1434" s="99"/>
      <c r="E1434" s="99"/>
      <c r="G1434" s="99"/>
      <c r="H1434" s="99"/>
      <c r="I1434" s="100"/>
      <c r="J1434" s="101"/>
      <c r="K1434" s="101"/>
      <c r="L1434" s="101"/>
      <c r="M1434" s="87" t="s">
        <v>134</v>
      </c>
      <c r="N1434" s="101"/>
      <c r="O1434" s="101"/>
      <c r="P1434" s="101"/>
      <c r="Q1434" s="101"/>
    </row>
    <row r="1435" spans="1:21" ht="15" customHeight="1" x14ac:dyDescent="0.3">
      <c r="A1435" s="42"/>
      <c r="B1435" s="59"/>
      <c r="C1435" s="59" t="s">
        <v>837</v>
      </c>
      <c r="D1435" s="59"/>
      <c r="E1435" s="59"/>
      <c r="F1435" s="59"/>
      <c r="G1435" s="59"/>
      <c r="H1435" s="59"/>
      <c r="I1435" s="61"/>
      <c r="J1435" s="62"/>
      <c r="K1435" s="62"/>
      <c r="L1435" s="62"/>
      <c r="M1435" s="62"/>
      <c r="N1435" s="62"/>
      <c r="O1435" s="62"/>
      <c r="P1435" s="62"/>
      <c r="Q1435" s="62"/>
    </row>
    <row r="1437" spans="1:21" ht="29.1" customHeight="1" x14ac:dyDescent="0.25">
      <c r="A1437" s="127" t="s">
        <v>839</v>
      </c>
      <c r="B1437" s="77"/>
      <c r="C1437" s="187" t="s">
        <v>831</v>
      </c>
      <c r="D1437" s="187"/>
      <c r="E1437" s="187"/>
      <c r="F1437" s="187"/>
      <c r="G1437" s="187"/>
      <c r="H1437" s="187"/>
      <c r="I1437" s="78" t="s">
        <v>42</v>
      </c>
      <c r="J1437" s="41" t="s">
        <v>43</v>
      </c>
      <c r="K1437" s="41">
        <v>1000</v>
      </c>
      <c r="L1437" s="41">
        <v>2000</v>
      </c>
      <c r="M1437" s="41">
        <v>3000</v>
      </c>
      <c r="N1437" s="41">
        <v>4000</v>
      </c>
      <c r="O1437" s="41">
        <v>5000</v>
      </c>
      <c r="P1437" s="41">
        <v>6000</v>
      </c>
      <c r="Q1437" s="41">
        <v>7000</v>
      </c>
    </row>
    <row r="1438" spans="1:21" ht="15" customHeight="1" x14ac:dyDescent="0.3">
      <c r="A1438" s="42"/>
      <c r="B1438" s="43" t="s">
        <v>832</v>
      </c>
      <c r="C1438" s="44" t="s">
        <v>45</v>
      </c>
      <c r="D1438" s="159"/>
      <c r="E1438" s="46" t="s">
        <v>47</v>
      </c>
      <c r="F1438" s="47"/>
      <c r="G1438" s="46" t="s">
        <v>48</v>
      </c>
      <c r="H1438" s="47"/>
      <c r="I1438" s="48">
        <v>7.5</v>
      </c>
      <c r="J1438" s="49">
        <f>ROUND((3268*$T$1),0)*1.05</f>
        <v>3431.4</v>
      </c>
      <c r="K1438" s="49">
        <f>ROUND((3477*$T$1),0)*1.05</f>
        <v>3650.8500000000004</v>
      </c>
      <c r="L1438" s="49">
        <f>ROUND((3790*$T$1),0)*1.05</f>
        <v>3979.5</v>
      </c>
      <c r="M1438" s="49">
        <f>ROUND((4104*$T$1),0)*1.05</f>
        <v>4309.2</v>
      </c>
      <c r="N1438" s="49">
        <f>ROUND((4417*$T$1),0)*1.05</f>
        <v>4637.8500000000004</v>
      </c>
      <c r="O1438" s="49">
        <f>ROUND((4732*$T$1),0)*1.05</f>
        <v>4968.6000000000004</v>
      </c>
      <c r="P1438" s="49">
        <f>ROUND((5047*$T$1),0)*1.05</f>
        <v>5299.35</v>
      </c>
      <c r="Q1438" s="49">
        <f>ROUND((5362*$T$1),0)*1.05</f>
        <v>5630.1</v>
      </c>
      <c r="R1438" s="33"/>
      <c r="S1438" s="33"/>
      <c r="T1438" s="33"/>
      <c r="U1438" s="33"/>
    </row>
    <row r="1439" spans="1:21" ht="15" customHeight="1" x14ac:dyDescent="0.3">
      <c r="A1439" s="42"/>
      <c r="B1439" s="43" t="s">
        <v>833</v>
      </c>
      <c r="C1439" s="44" t="s">
        <v>45</v>
      </c>
      <c r="D1439" s="159"/>
      <c r="E1439" s="46" t="s">
        <v>47</v>
      </c>
      <c r="F1439" s="47"/>
      <c r="G1439" s="46" t="s">
        <v>48</v>
      </c>
      <c r="H1439" s="47"/>
      <c r="I1439" s="48">
        <v>8</v>
      </c>
      <c r="J1439" s="49">
        <f>ROUND((3440*$T$1),0)*1.05</f>
        <v>3612</v>
      </c>
      <c r="K1439" s="49">
        <f>ROUND((3654*$T$1),0)*1.05</f>
        <v>3836.7000000000003</v>
      </c>
      <c r="L1439" s="49">
        <f>ROUND((3989*$T$1),0)*1.05</f>
        <v>4188.45</v>
      </c>
      <c r="M1439" s="49">
        <f>ROUND((4320*$T$1),0)*1.05</f>
        <v>4536</v>
      </c>
      <c r="N1439" s="49">
        <f>ROUND((4649*$T$1),0)*1.05</f>
        <v>4881.45</v>
      </c>
      <c r="O1439" s="49">
        <f>ROUND((4980*$T$1),0)*1.05</f>
        <v>5229</v>
      </c>
      <c r="P1439" s="49">
        <f>ROUND((5311*$T$1),0)*1.05</f>
        <v>5576.55</v>
      </c>
      <c r="Q1439" s="49">
        <f>ROUND((5642*$T$1),0)*1.05</f>
        <v>5924.1</v>
      </c>
      <c r="R1439" s="33"/>
      <c r="S1439" s="33"/>
      <c r="T1439" s="33"/>
      <c r="U1439" s="33"/>
    </row>
    <row r="1440" spans="1:21" ht="15" customHeight="1" x14ac:dyDescent="0.3">
      <c r="A1440" s="42"/>
      <c r="B1440" s="43" t="s">
        <v>834</v>
      </c>
      <c r="C1440" s="44" t="s">
        <v>45</v>
      </c>
      <c r="D1440" s="159"/>
      <c r="E1440" s="46" t="s">
        <v>47</v>
      </c>
      <c r="F1440" s="47"/>
      <c r="G1440" s="46" t="s">
        <v>48</v>
      </c>
      <c r="H1440" s="47"/>
      <c r="I1440" s="48">
        <v>8.5</v>
      </c>
      <c r="J1440" s="49">
        <f>ROUND((3621*$T$1),0)*1.05</f>
        <v>3802.05</v>
      </c>
      <c r="K1440" s="49">
        <f>ROUND((3852*$T$1),0)*1.05</f>
        <v>4044.6000000000004</v>
      </c>
      <c r="L1440" s="49">
        <f>ROUND((4200*$T$1),0)*1.05</f>
        <v>4410</v>
      </c>
      <c r="M1440" s="49">
        <f>ROUND((4546*$T$1),0)*1.05</f>
        <v>4773.3</v>
      </c>
      <c r="N1440" s="49">
        <f>ROUND((4894*$T$1),0)*1.05</f>
        <v>5138.7</v>
      </c>
      <c r="O1440" s="49">
        <f>ROUND((5243*$T$1),0)*1.05</f>
        <v>5505.1500000000005</v>
      </c>
      <c r="P1440" s="49">
        <f>ROUND((5591*$T$1),0)*1.05</f>
        <v>5870.55</v>
      </c>
      <c r="Q1440" s="49">
        <f>ROUND((5939*$T$1),0)*1.05</f>
        <v>6235.95</v>
      </c>
      <c r="R1440" s="33"/>
      <c r="S1440" s="33"/>
      <c r="T1440" s="33"/>
      <c r="U1440" s="33"/>
    </row>
    <row r="1441" spans="1:21" ht="15" customHeight="1" x14ac:dyDescent="0.3">
      <c r="A1441" s="42"/>
      <c r="B1441" s="43" t="s">
        <v>835</v>
      </c>
      <c r="C1441" s="44" t="s">
        <v>45</v>
      </c>
      <c r="D1441" s="159"/>
      <c r="E1441" s="46" t="s">
        <v>47</v>
      </c>
      <c r="F1441" s="47"/>
      <c r="G1441" s="46" t="s">
        <v>48</v>
      </c>
      <c r="H1441" s="47"/>
      <c r="I1441" s="48">
        <v>9</v>
      </c>
      <c r="J1441" s="49">
        <f>ROUND((3812*$T$1),0)*1.05</f>
        <v>4002.6000000000004</v>
      </c>
      <c r="K1441" s="49">
        <f>ROUND((4055*$T$1),0)*1.05</f>
        <v>4257.75</v>
      </c>
      <c r="L1441" s="49">
        <f>ROUND((4420*$T$1),0)*1.05</f>
        <v>4641</v>
      </c>
      <c r="M1441" s="49">
        <f>ROUND((4786*$T$1),0)*1.05</f>
        <v>5025.3</v>
      </c>
      <c r="N1441" s="49">
        <f>ROUND((5151*$T$1),0)*1.05</f>
        <v>5408.55</v>
      </c>
      <c r="O1441" s="49">
        <f>ROUND((5519*$T$1),0)*1.05</f>
        <v>5794.95</v>
      </c>
      <c r="P1441" s="49">
        <f>ROUND((5884*$T$1),0)*1.05</f>
        <v>6178.2</v>
      </c>
      <c r="Q1441" s="49">
        <f>ROUND((6249*$T$1),0)*1.05</f>
        <v>6561.4500000000007</v>
      </c>
      <c r="R1441" s="33"/>
      <c r="S1441" s="33"/>
      <c r="T1441" s="33"/>
      <c r="U1441" s="33"/>
    </row>
    <row r="1442" spans="1:21" ht="15" customHeight="1" x14ac:dyDescent="0.3">
      <c r="A1442" s="42"/>
      <c r="B1442" s="43" t="s">
        <v>836</v>
      </c>
      <c r="C1442" s="44" t="s">
        <v>45</v>
      </c>
      <c r="D1442" s="159"/>
      <c r="E1442" s="46" t="s">
        <v>47</v>
      </c>
      <c r="F1442" s="47"/>
      <c r="G1442" s="46" t="s">
        <v>48</v>
      </c>
      <c r="H1442" s="47"/>
      <c r="I1442" s="48">
        <v>9.5</v>
      </c>
      <c r="J1442" s="49">
        <f>ROUND((4012*$T$1),0)*1.05</f>
        <v>4212.6000000000004</v>
      </c>
      <c r="K1442" s="49">
        <f>ROUND((4241*$T$1),0)*1.05</f>
        <v>4453.05</v>
      </c>
      <c r="L1442" s="49">
        <f>ROUND((4653*$T$1),0)*1.05</f>
        <v>4885.6500000000005</v>
      </c>
      <c r="M1442" s="49">
        <f>ROUND((5038*$T$1),0)*1.05</f>
        <v>5289.9000000000005</v>
      </c>
      <c r="N1442" s="49">
        <f>ROUND((5423*$T$1),0)*1.05</f>
        <v>5694.1500000000005</v>
      </c>
      <c r="O1442" s="49">
        <f>ROUND((5809*$T$1),0)*1.05</f>
        <v>6099.45</v>
      </c>
      <c r="P1442" s="49">
        <f>ROUND((6194*$T$1),0)*1.05</f>
        <v>6503.7000000000007</v>
      </c>
      <c r="Q1442" s="49">
        <f>ROUND((6579*$T$1),0)*1.05</f>
        <v>6907.9500000000007</v>
      </c>
      <c r="R1442" s="33"/>
      <c r="S1442" s="33"/>
      <c r="T1442" s="33"/>
      <c r="U1442" s="33"/>
    </row>
    <row r="1443" spans="1:21" ht="15" customHeight="1" x14ac:dyDescent="0.3">
      <c r="A1443" s="42"/>
      <c r="B1443" s="43"/>
      <c r="C1443" s="44"/>
      <c r="D1443" s="45"/>
      <c r="E1443" s="46"/>
      <c r="F1443" s="47"/>
      <c r="G1443" s="46"/>
      <c r="H1443" s="47"/>
      <c r="I1443" s="48"/>
      <c r="J1443" s="49"/>
      <c r="K1443" s="49"/>
      <c r="L1443" s="49"/>
      <c r="M1443" s="49"/>
      <c r="N1443" s="49"/>
      <c r="O1443" s="49"/>
      <c r="P1443" s="49"/>
      <c r="Q1443" s="49"/>
    </row>
    <row r="1444" spans="1:21" ht="15" customHeight="1" x14ac:dyDescent="0.3">
      <c r="A1444" s="42"/>
      <c r="B1444" s="126"/>
      <c r="C1444" s="98"/>
      <c r="D1444" s="99"/>
      <c r="E1444" s="99"/>
      <c r="F1444" s="99"/>
      <c r="G1444" s="99"/>
      <c r="H1444" s="99"/>
      <c r="I1444" s="100"/>
      <c r="J1444" s="101"/>
      <c r="K1444" s="101"/>
      <c r="L1444" s="101"/>
      <c r="M1444" s="101"/>
      <c r="N1444" s="101"/>
      <c r="O1444" s="101"/>
      <c r="P1444" s="101"/>
      <c r="Q1444" s="101"/>
    </row>
    <row r="1445" spans="1:21" ht="15" customHeight="1" x14ac:dyDescent="0.3">
      <c r="A1445" s="42"/>
      <c r="B1445" s="97"/>
      <c r="C1445" s="98"/>
      <c r="D1445" s="99"/>
      <c r="E1445" s="99"/>
      <c r="F1445" s="99"/>
      <c r="G1445" s="99"/>
      <c r="H1445" s="99"/>
      <c r="I1445" s="100"/>
      <c r="J1445" s="101"/>
      <c r="K1445" s="101"/>
      <c r="L1445" s="101"/>
      <c r="M1445" s="87" t="s">
        <v>134</v>
      </c>
      <c r="N1445" s="101"/>
      <c r="O1445" s="101"/>
      <c r="P1445" s="101"/>
      <c r="Q1445" s="101"/>
    </row>
    <row r="1446" spans="1:21" ht="15" customHeight="1" x14ac:dyDescent="0.3">
      <c r="A1446" s="42"/>
      <c r="B1446" s="59"/>
      <c r="C1446" s="59" t="s">
        <v>837</v>
      </c>
      <c r="D1446" s="59"/>
      <c r="E1446" s="59"/>
      <c r="F1446" s="59"/>
      <c r="G1446" s="59"/>
      <c r="H1446" s="59"/>
      <c r="I1446" s="61"/>
      <c r="J1446" s="62"/>
      <c r="K1446" s="62"/>
      <c r="L1446" s="62"/>
      <c r="M1446" s="62"/>
      <c r="N1446" s="62"/>
      <c r="O1446" s="62"/>
      <c r="P1446" s="62"/>
      <c r="Q1446" s="62"/>
    </row>
    <row r="1447" spans="1:21" ht="15" customHeight="1" x14ac:dyDescent="0.25">
      <c r="F1447" s="99"/>
    </row>
    <row r="1448" spans="1:21" ht="29.1" customHeight="1" x14ac:dyDescent="0.25">
      <c r="A1448" s="127" t="s">
        <v>840</v>
      </c>
      <c r="B1448" s="77"/>
      <c r="C1448" s="187" t="s">
        <v>831</v>
      </c>
      <c r="D1448" s="187"/>
      <c r="E1448" s="187"/>
      <c r="F1448" s="187"/>
      <c r="G1448" s="187"/>
      <c r="H1448" s="187"/>
      <c r="I1448" s="78" t="s">
        <v>42</v>
      </c>
      <c r="J1448" s="41" t="s">
        <v>43</v>
      </c>
      <c r="K1448" s="41">
        <v>1000</v>
      </c>
      <c r="L1448" s="41">
        <v>2000</v>
      </c>
      <c r="M1448" s="41">
        <v>3000</v>
      </c>
      <c r="N1448" s="41">
        <v>4000</v>
      </c>
      <c r="O1448" s="41">
        <v>5000</v>
      </c>
      <c r="P1448" s="41">
        <v>6000</v>
      </c>
      <c r="Q1448" s="41">
        <v>7000</v>
      </c>
    </row>
    <row r="1449" spans="1:21" ht="15" customHeight="1" x14ac:dyDescent="0.3">
      <c r="A1449" s="42"/>
      <c r="B1449" s="43" t="s">
        <v>832</v>
      </c>
      <c r="C1449" s="44" t="s">
        <v>45</v>
      </c>
      <c r="D1449" s="159"/>
      <c r="E1449" s="46" t="s">
        <v>47</v>
      </c>
      <c r="F1449" s="47"/>
      <c r="G1449" s="46" t="s">
        <v>48</v>
      </c>
      <c r="H1449" s="47"/>
      <c r="I1449" s="48">
        <v>11</v>
      </c>
      <c r="J1449" s="49">
        <f>ROUND((5326*$T$1),0)*1.05</f>
        <v>5592.3</v>
      </c>
      <c r="K1449" s="49">
        <f>ROUND((5666*$T$1),0)*1.05</f>
        <v>5949.3</v>
      </c>
      <c r="L1449" s="49">
        <f>ROUND((6090*$T$1),0)*1.05</f>
        <v>6394.5</v>
      </c>
      <c r="M1449" s="49">
        <f>ROUND((6515*$T$1),0)*1.05</f>
        <v>6840.75</v>
      </c>
      <c r="N1449" s="49">
        <f>ROUND((6939*$T$1),0)*1.05</f>
        <v>7285.9500000000007</v>
      </c>
      <c r="O1449" s="49">
        <f>ROUND((7364*$T$1),0)*1.05</f>
        <v>7732.2000000000007</v>
      </c>
      <c r="P1449" s="49">
        <f>ROUND((7788*$T$1),0)*1.05</f>
        <v>8177.4000000000005</v>
      </c>
      <c r="Q1449" s="49">
        <f>ROUND((8212*$T$1),0)*1.05</f>
        <v>8622.6</v>
      </c>
      <c r="R1449" s="33"/>
      <c r="S1449" s="33"/>
      <c r="T1449" s="33"/>
      <c r="U1449" s="33"/>
    </row>
    <row r="1450" spans="1:21" ht="15" customHeight="1" x14ac:dyDescent="0.3">
      <c r="A1450" s="42"/>
      <c r="B1450" s="43" t="s">
        <v>833</v>
      </c>
      <c r="C1450" s="44" t="s">
        <v>45</v>
      </c>
      <c r="D1450" s="159"/>
      <c r="E1450" s="46" t="s">
        <v>47</v>
      </c>
      <c r="F1450" s="47"/>
      <c r="G1450" s="46" t="s">
        <v>48</v>
      </c>
      <c r="H1450" s="47"/>
      <c r="I1450" s="48">
        <v>12</v>
      </c>
      <c r="J1450" s="49">
        <f>ROUND((5606*$T$1),0)*1.05</f>
        <v>5886.3</v>
      </c>
      <c r="K1450" s="49">
        <f>ROUND((5963*$T$1),0)*1.05</f>
        <v>6261.1500000000005</v>
      </c>
      <c r="L1450" s="49">
        <f>ROUND((6410*$T$1),0)*1.05</f>
        <v>6730.5</v>
      </c>
      <c r="M1450" s="49">
        <f>ROUND((6858*$T$1),0)*1.05</f>
        <v>7200.9000000000005</v>
      </c>
      <c r="N1450" s="49">
        <f>ROUND((7305*$T$1),0)*1.05</f>
        <v>7670.25</v>
      </c>
      <c r="O1450" s="49">
        <f>ROUND((7752*$T$1),0)*1.05</f>
        <v>8139.6</v>
      </c>
      <c r="P1450" s="49">
        <f>ROUND((8819*$T$1),0)*1.05</f>
        <v>9259.9500000000007</v>
      </c>
      <c r="Q1450" s="49">
        <f>ROUND((8646*$T$1),0)*1.05</f>
        <v>9078.3000000000011</v>
      </c>
      <c r="R1450" s="33"/>
      <c r="S1450" s="33"/>
      <c r="T1450" s="33"/>
      <c r="U1450" s="33"/>
    </row>
    <row r="1451" spans="1:21" ht="15" customHeight="1" x14ac:dyDescent="0.3">
      <c r="A1451" s="42"/>
      <c r="B1451" s="43" t="s">
        <v>834</v>
      </c>
      <c r="C1451" s="44" t="s">
        <v>45</v>
      </c>
      <c r="D1451" s="159"/>
      <c r="E1451" s="46" t="s">
        <v>47</v>
      </c>
      <c r="F1451" s="47"/>
      <c r="G1451" s="46" t="s">
        <v>48</v>
      </c>
      <c r="H1451" s="47"/>
      <c r="I1451" s="48">
        <v>13</v>
      </c>
      <c r="J1451" s="49">
        <f>ROUND((5901*$T$1),0)*1.05</f>
        <v>6196.05</v>
      </c>
      <c r="K1451" s="49">
        <f>ROUND((6277*$T$1),0)*1.05</f>
        <v>6590.85</v>
      </c>
      <c r="L1451" s="49">
        <f>ROUND((6748*$T$1),0)*1.05</f>
        <v>7085.4000000000005</v>
      </c>
      <c r="M1451" s="49">
        <f>ROUND((7219*$T$1),0)*1.05</f>
        <v>7579.9500000000007</v>
      </c>
      <c r="N1451" s="49">
        <f>ROUND((7689*$T$1),0)*1.05</f>
        <v>8073.4500000000007</v>
      </c>
      <c r="O1451" s="49">
        <f>ROUND((8160*$T$1),0)*1.05</f>
        <v>8568</v>
      </c>
      <c r="P1451" s="49">
        <f>ROUND((8631*$T$1),0)*1.05</f>
        <v>9062.5500000000011</v>
      </c>
      <c r="Q1451" s="49">
        <f>ROUND((9102*$T$1),0)*1.05</f>
        <v>9557.1</v>
      </c>
      <c r="R1451" s="33"/>
      <c r="S1451" s="33"/>
      <c r="T1451" s="33"/>
      <c r="U1451" s="33"/>
    </row>
    <row r="1452" spans="1:21" ht="15" customHeight="1" x14ac:dyDescent="0.3">
      <c r="A1452" s="42"/>
      <c r="B1452" s="43" t="s">
        <v>835</v>
      </c>
      <c r="C1452" s="44" t="s">
        <v>45</v>
      </c>
      <c r="D1452" s="159"/>
      <c r="E1452" s="46" t="s">
        <v>47</v>
      </c>
      <c r="F1452" s="47"/>
      <c r="G1452" s="46" t="s">
        <v>48</v>
      </c>
      <c r="H1452" s="47"/>
      <c r="I1452" s="48">
        <v>14</v>
      </c>
      <c r="J1452" s="49">
        <f>ROUND((6212*$T$1),0)*1.05</f>
        <v>6522.6</v>
      </c>
      <c r="K1452" s="49">
        <f>ROUND((6608*$T$1),0)*1.05</f>
        <v>6938.4000000000005</v>
      </c>
      <c r="L1452" s="49">
        <f>ROUND((7104*$T$1),0)*1.05</f>
        <v>7459.2000000000007</v>
      </c>
      <c r="M1452" s="49">
        <f>ROUND((7598*$T$1),0)*1.05</f>
        <v>7977.9000000000005</v>
      </c>
      <c r="N1452" s="49">
        <f>ROUND((8094*$T$1),0)*1.05</f>
        <v>8498.7000000000007</v>
      </c>
      <c r="O1452" s="49">
        <f>ROUND((8589*$T$1),0)*1.05</f>
        <v>9018.4500000000007</v>
      </c>
      <c r="P1452" s="49">
        <f>ROUND((9085*$T$1),0)*1.05</f>
        <v>9539.25</v>
      </c>
      <c r="Q1452" s="49">
        <f>ROUND((9581*$T$1),0)*1.05</f>
        <v>10060.050000000001</v>
      </c>
      <c r="R1452" s="33"/>
      <c r="S1452" s="33"/>
      <c r="T1452" s="33"/>
      <c r="U1452" s="33"/>
    </row>
    <row r="1453" spans="1:21" ht="15" customHeight="1" x14ac:dyDescent="0.3">
      <c r="A1453" s="42"/>
      <c r="B1453" s="43" t="s">
        <v>836</v>
      </c>
      <c r="C1453" s="44" t="s">
        <v>45</v>
      </c>
      <c r="D1453" s="159"/>
      <c r="E1453" s="46" t="s">
        <v>47</v>
      </c>
      <c r="F1453" s="47"/>
      <c r="G1453" s="46" t="s">
        <v>48</v>
      </c>
      <c r="H1453" s="47"/>
      <c r="I1453" s="48">
        <v>15</v>
      </c>
      <c r="J1453" s="49">
        <f>ROUND((6538*$T$1),0)*1.05</f>
        <v>6864.9000000000005</v>
      </c>
      <c r="K1453" s="49">
        <f>ROUND((6955*$T$1),0)*1.05</f>
        <v>7302.75</v>
      </c>
      <c r="L1453" s="49">
        <f>ROUND((7477*$T$1),0)*1.05</f>
        <v>7850.85</v>
      </c>
      <c r="M1453" s="49">
        <f>ROUND((7798*$T$1),0)*1.05</f>
        <v>8187.9000000000005</v>
      </c>
      <c r="N1453" s="49">
        <f>ROUND((8519*$T$1),0)*1.05</f>
        <v>8944.9500000000007</v>
      </c>
      <c r="O1453" s="49">
        <f>ROUND((9042*$T$1),0)*1.05</f>
        <v>9494.1</v>
      </c>
      <c r="P1453" s="49">
        <f>ROUND((9563*$T$1),0)*1.05</f>
        <v>10041.15</v>
      </c>
      <c r="Q1453" s="49">
        <f>ROUND((10084*$T$1),0)*1.05</f>
        <v>10588.2</v>
      </c>
      <c r="R1453" s="33"/>
      <c r="S1453" s="33"/>
      <c r="T1453" s="33"/>
      <c r="U1453" s="33"/>
    </row>
    <row r="1454" spans="1:21" ht="15" customHeight="1" x14ac:dyDescent="0.3">
      <c r="A1454" s="42"/>
      <c r="B1454" s="126"/>
      <c r="C1454" s="98"/>
      <c r="D1454" s="99"/>
      <c r="E1454" s="99"/>
      <c r="F1454" s="99"/>
      <c r="G1454" s="99"/>
      <c r="H1454" s="99"/>
      <c r="I1454" s="100"/>
      <c r="J1454" s="101"/>
      <c r="K1454" s="101"/>
      <c r="L1454" s="101"/>
      <c r="M1454" s="101"/>
      <c r="N1454" s="101"/>
      <c r="O1454" s="101"/>
      <c r="P1454" s="101"/>
      <c r="Q1454" s="101"/>
    </row>
    <row r="1455" spans="1:21" ht="15" customHeight="1" x14ac:dyDescent="0.3">
      <c r="A1455" s="42"/>
      <c r="B1455" s="97"/>
      <c r="C1455" s="98"/>
      <c r="D1455" s="99"/>
      <c r="E1455" s="99"/>
      <c r="G1455" s="99"/>
      <c r="H1455" s="99"/>
      <c r="I1455" s="100"/>
      <c r="J1455" s="101"/>
      <c r="K1455" s="101"/>
      <c r="L1455" s="101"/>
      <c r="M1455" s="87" t="s">
        <v>134</v>
      </c>
      <c r="N1455" s="101"/>
      <c r="O1455" s="101"/>
      <c r="P1455" s="101"/>
      <c r="Q1455" s="101"/>
    </row>
    <row r="1456" spans="1:21" ht="15" customHeight="1" x14ac:dyDescent="0.3">
      <c r="A1456" s="42"/>
      <c r="B1456" s="59"/>
      <c r="C1456" s="59" t="s">
        <v>837</v>
      </c>
      <c r="D1456" s="59"/>
      <c r="E1456" s="59"/>
      <c r="F1456" s="59"/>
      <c r="G1456" s="59"/>
      <c r="H1456" s="59"/>
      <c r="I1456" s="61"/>
      <c r="J1456" s="62"/>
      <c r="K1456" s="62"/>
      <c r="L1456" s="62"/>
      <c r="M1456" s="62"/>
      <c r="N1456" s="62"/>
      <c r="O1456" s="62"/>
      <c r="P1456" s="62"/>
      <c r="Q1456" s="62"/>
    </row>
    <row r="1458" spans="1:21" ht="29.1" customHeight="1" x14ac:dyDescent="0.25">
      <c r="A1458" s="127" t="s">
        <v>841</v>
      </c>
      <c r="B1458" s="77"/>
      <c r="C1458" s="187" t="s">
        <v>41</v>
      </c>
      <c r="D1458" s="187"/>
      <c r="E1458" s="187"/>
      <c r="F1458" s="187"/>
      <c r="G1458" s="187"/>
      <c r="H1458" s="187"/>
      <c r="I1458" s="78" t="s">
        <v>42</v>
      </c>
      <c r="J1458" s="41" t="s">
        <v>43</v>
      </c>
      <c r="K1458" s="41">
        <v>1000</v>
      </c>
      <c r="L1458" s="41">
        <v>2000</v>
      </c>
      <c r="M1458" s="41">
        <v>3000</v>
      </c>
      <c r="N1458" s="41">
        <v>4000</v>
      </c>
      <c r="O1458" s="41">
        <v>5000</v>
      </c>
      <c r="P1458" s="41">
        <v>6000</v>
      </c>
      <c r="Q1458" s="41">
        <v>7000</v>
      </c>
    </row>
    <row r="1459" spans="1:21" ht="15" customHeight="1" x14ac:dyDescent="0.3">
      <c r="A1459" s="42"/>
      <c r="B1459" s="43" t="s">
        <v>842</v>
      </c>
      <c r="C1459" s="44" t="s">
        <v>45</v>
      </c>
      <c r="D1459" s="47">
        <v>1.2</v>
      </c>
      <c r="E1459" s="46" t="s">
        <v>47</v>
      </c>
      <c r="F1459" s="47">
        <v>1.2</v>
      </c>
      <c r="G1459" s="46" t="s">
        <v>48</v>
      </c>
      <c r="H1459" s="47">
        <v>0.98</v>
      </c>
      <c r="I1459" s="48">
        <v>8</v>
      </c>
      <c r="J1459" s="49">
        <f>ROUND((2911*$T$1),0)*1.05</f>
        <v>3056.55</v>
      </c>
      <c r="K1459" s="49">
        <f>ROUND((3097*$T$1),0)*1.05</f>
        <v>3251.8500000000004</v>
      </c>
      <c r="L1459" s="49">
        <f>ROUND((3217*$T$1),0)*1.05</f>
        <v>3377.8500000000004</v>
      </c>
      <c r="M1459" s="49">
        <f>ROUND((3338*$T$1),0)*1.05</f>
        <v>3504.9</v>
      </c>
      <c r="N1459" s="49">
        <f>ROUND((3459*$T$1),0)*1.05</f>
        <v>3631.9500000000003</v>
      </c>
      <c r="O1459" s="49">
        <f>ROUND((3580*$T$1),0)*1.05</f>
        <v>3759</v>
      </c>
      <c r="P1459" s="49">
        <f>ROUND((3701*$T$1),0)*1.05</f>
        <v>3886.05</v>
      </c>
      <c r="Q1459" s="49">
        <f>ROUND((3822*$T$1),0)*1.05</f>
        <v>4013.1000000000004</v>
      </c>
      <c r="R1459" s="33"/>
      <c r="S1459" s="33"/>
      <c r="T1459" s="33"/>
      <c r="U1459" s="33"/>
    </row>
    <row r="1460" spans="1:21" ht="15" customHeight="1" x14ac:dyDescent="0.3">
      <c r="A1460" s="42"/>
      <c r="B1460" s="43" t="s">
        <v>843</v>
      </c>
      <c r="C1460" s="44" t="s">
        <v>45</v>
      </c>
      <c r="D1460" s="47">
        <v>1.3</v>
      </c>
      <c r="E1460" s="46" t="s">
        <v>47</v>
      </c>
      <c r="F1460" s="47">
        <v>1.3</v>
      </c>
      <c r="G1460" s="46" t="s">
        <v>48</v>
      </c>
      <c r="H1460" s="47">
        <v>0.98</v>
      </c>
      <c r="I1460" s="48">
        <v>8.5</v>
      </c>
      <c r="J1460" s="49">
        <f>ROUND((3064*$T$1),0)*1.05</f>
        <v>3217.2000000000003</v>
      </c>
      <c r="K1460" s="49">
        <f>ROUND((3259*$T$1),0)*1.05</f>
        <v>3421.9500000000003</v>
      </c>
      <c r="L1460" s="49">
        <f>ROUND((3387*$T$1),0)*1.05</f>
        <v>3556.3500000000004</v>
      </c>
      <c r="M1460" s="49">
        <f>ROUND((3514*$T$1),0)*1.05</f>
        <v>3689.7000000000003</v>
      </c>
      <c r="N1460" s="49">
        <f>ROUND((3641*$T$1),0)*1.05</f>
        <v>3823.05</v>
      </c>
      <c r="O1460" s="49">
        <f>ROUND((3768*$T$1),0)*1.05</f>
        <v>3956.4</v>
      </c>
      <c r="P1460" s="49">
        <f>ROUND((3895*$T$1),0)*1.05</f>
        <v>4089.75</v>
      </c>
      <c r="Q1460" s="49">
        <f>ROUND((4022*$T$1),0)*1.05</f>
        <v>4223.1000000000004</v>
      </c>
      <c r="R1460" s="33"/>
      <c r="S1460" s="33"/>
      <c r="T1460" s="33"/>
      <c r="U1460" s="33"/>
    </row>
    <row r="1461" spans="1:21" ht="15" customHeight="1" x14ac:dyDescent="0.3">
      <c r="A1461" s="42"/>
      <c r="B1461" s="43" t="s">
        <v>844</v>
      </c>
      <c r="C1461" s="44" t="s">
        <v>45</v>
      </c>
      <c r="D1461" s="47">
        <v>1.4</v>
      </c>
      <c r="E1461" s="46" t="s">
        <v>47</v>
      </c>
      <c r="F1461" s="47">
        <v>1.4</v>
      </c>
      <c r="G1461" s="46" t="s">
        <v>48</v>
      </c>
      <c r="H1461" s="47">
        <v>0.98</v>
      </c>
      <c r="I1461" s="48">
        <v>9</v>
      </c>
      <c r="J1461" s="49">
        <f>ROUND((3225*$T$1),0)*1.05</f>
        <v>3386.25</v>
      </c>
      <c r="K1461" s="49">
        <f>ROUND((3430*$T$1),0)*1.05</f>
        <v>3601.5</v>
      </c>
      <c r="L1461" s="49">
        <f>ROUND((3564*$T$1),0)*1.05</f>
        <v>3742.2000000000003</v>
      </c>
      <c r="M1461" s="49">
        <f>ROUND((3698*$T$1),0)*1.05</f>
        <v>3882.9</v>
      </c>
      <c r="N1461" s="49">
        <f>ROUND((3831*$T$1),0)*1.05</f>
        <v>4022.55</v>
      </c>
      <c r="O1461" s="49">
        <f>ROUND((4417*$T$1),0)*1.05</f>
        <v>4637.8500000000004</v>
      </c>
      <c r="P1461" s="49">
        <f>ROUND((4101*$T$1),0)*1.05</f>
        <v>4306.05</v>
      </c>
      <c r="Q1461" s="49">
        <f>ROUND((4235*$T$1),0)*1.05</f>
        <v>4446.75</v>
      </c>
      <c r="R1461" s="33"/>
      <c r="S1461" s="33"/>
      <c r="T1461" s="33"/>
      <c r="U1461" s="33"/>
    </row>
    <row r="1462" spans="1:21" ht="15" customHeight="1" x14ac:dyDescent="0.3">
      <c r="A1462" s="42"/>
      <c r="B1462" s="43" t="s">
        <v>845</v>
      </c>
      <c r="C1462" s="44" t="s">
        <v>45</v>
      </c>
      <c r="D1462" s="47">
        <v>1.5</v>
      </c>
      <c r="E1462" s="46" t="s">
        <v>47</v>
      </c>
      <c r="F1462" s="47">
        <v>1.5</v>
      </c>
      <c r="G1462" s="46" t="s">
        <v>48</v>
      </c>
      <c r="H1462" s="47">
        <v>0.98</v>
      </c>
      <c r="I1462" s="48">
        <v>9.5</v>
      </c>
      <c r="J1462" s="49">
        <f>ROUND((3394*$T$1),0)*1.05</f>
        <v>3563.7000000000003</v>
      </c>
      <c r="K1462" s="49">
        <f>ROUND((3611*$T$1),0)*1.05</f>
        <v>3791.55</v>
      </c>
      <c r="L1462" s="49">
        <f>ROUND((3753*$T$1),0)*1.05</f>
        <v>3940.65</v>
      </c>
      <c r="M1462" s="49">
        <f>ROUND((3892*$T$1),0)*1.05</f>
        <v>4086.6000000000004</v>
      </c>
      <c r="N1462" s="49">
        <f>ROUND((4031*$T$1),0)*1.05</f>
        <v>4232.55</v>
      </c>
      <c r="O1462" s="49">
        <f>ROUND((4175*$T$1),0)*1.05</f>
        <v>4383.75</v>
      </c>
      <c r="P1462" s="49">
        <f>ROUND((4317*$T$1),0)*1.05</f>
        <v>4532.8500000000004</v>
      </c>
      <c r="Q1462" s="49">
        <f>ROUND((4459*$T$1),0)*1.05</f>
        <v>4681.95</v>
      </c>
      <c r="R1462" s="33"/>
      <c r="S1462" s="33"/>
      <c r="T1462" s="33"/>
      <c r="U1462" s="33"/>
    </row>
    <row r="1463" spans="1:21" ht="15" customHeight="1" x14ac:dyDescent="0.3">
      <c r="A1463" s="42"/>
      <c r="B1463" s="43" t="s">
        <v>846</v>
      </c>
      <c r="C1463" s="44" t="s">
        <v>45</v>
      </c>
      <c r="D1463" s="47">
        <v>1.6</v>
      </c>
      <c r="E1463" s="46" t="s">
        <v>47</v>
      </c>
      <c r="F1463" s="47">
        <v>1.6</v>
      </c>
      <c r="G1463" s="46" t="s">
        <v>48</v>
      </c>
      <c r="H1463" s="47">
        <v>0.98</v>
      </c>
      <c r="I1463" s="48">
        <v>10</v>
      </c>
      <c r="J1463" s="49">
        <f>ROUND((3573*$T$1),0)*1.05</f>
        <v>3751.65</v>
      </c>
      <c r="K1463" s="49">
        <f>ROUND((3801*$T$1),0)*1.05</f>
        <v>3991.05</v>
      </c>
      <c r="L1463" s="49">
        <f>ROUND((3949*$T$1),0)*1.05</f>
        <v>4146.45</v>
      </c>
      <c r="M1463" s="49">
        <f>ROUND((4098*$T$1),0)*1.05</f>
        <v>4302.9000000000005</v>
      </c>
      <c r="N1463" s="49">
        <f>ROUND((4247*$T$1),0)*1.05</f>
        <v>4459.3500000000004</v>
      </c>
      <c r="O1463" s="49">
        <f>ROUND((4394*$T$1),0)*1.05</f>
        <v>4613.7</v>
      </c>
      <c r="P1463" s="49">
        <f>ROUND((4543*$T$1),0)*1.05</f>
        <v>4770.1500000000005</v>
      </c>
      <c r="Q1463" s="49">
        <f>ROUND((4692*$T$1),0)*1.05</f>
        <v>4926.6000000000004</v>
      </c>
      <c r="R1463" s="33"/>
      <c r="S1463" s="33"/>
      <c r="T1463" s="33"/>
      <c r="U1463" s="33"/>
    </row>
    <row r="1464" spans="1:21" ht="15" customHeight="1" x14ac:dyDescent="0.3">
      <c r="A1464" s="42"/>
      <c r="B1464" s="43" t="s">
        <v>847</v>
      </c>
      <c r="C1464" s="44" t="s">
        <v>45</v>
      </c>
      <c r="D1464" s="47">
        <v>1.7</v>
      </c>
      <c r="E1464" s="46" t="s">
        <v>47</v>
      </c>
      <c r="F1464" s="47">
        <v>1.7</v>
      </c>
      <c r="G1464" s="46" t="s">
        <v>48</v>
      </c>
      <c r="H1464" s="47">
        <v>0.98</v>
      </c>
      <c r="I1464" s="48">
        <v>10.5</v>
      </c>
      <c r="J1464" s="49">
        <f>ROUND((3762*$T$1),0)*1.05</f>
        <v>3950.1000000000004</v>
      </c>
      <c r="K1464" s="49">
        <f>ROUND((4001*$T$1),0)*1.05</f>
        <v>4201.05</v>
      </c>
      <c r="L1464" s="49">
        <f>ROUND((4157*$T$1),0)*1.05</f>
        <v>4364.8500000000004</v>
      </c>
      <c r="M1464" s="49">
        <f>ROUND((4267*$T$1),0)*1.05</f>
        <v>4480.3500000000004</v>
      </c>
      <c r="N1464" s="49">
        <f>ROUND((4470*$T$1),0)*1.05</f>
        <v>4693.5</v>
      </c>
      <c r="O1464" s="49">
        <f>ROUND((4625*$T$1),0)*1.05</f>
        <v>4856.25</v>
      </c>
      <c r="P1464" s="49">
        <f>ROUND((4780*$T$1),0)*1.05</f>
        <v>5019</v>
      </c>
      <c r="Q1464" s="49">
        <f>ROUND((4935*$T$1),0)*1.05</f>
        <v>5181.75</v>
      </c>
      <c r="R1464" s="33"/>
      <c r="S1464" s="33"/>
      <c r="T1464" s="33"/>
      <c r="U1464" s="33"/>
    </row>
    <row r="1465" spans="1:21" ht="15" customHeight="1" x14ac:dyDescent="0.3">
      <c r="A1465" s="42"/>
      <c r="B1465" s="43" t="s">
        <v>848</v>
      </c>
      <c r="C1465" s="44" t="s">
        <v>45</v>
      </c>
      <c r="D1465" s="47">
        <v>1.8</v>
      </c>
      <c r="E1465" s="46" t="s">
        <v>47</v>
      </c>
      <c r="F1465" s="47">
        <v>1.8</v>
      </c>
      <c r="G1465" s="46" t="s">
        <v>48</v>
      </c>
      <c r="H1465" s="47">
        <v>0.98</v>
      </c>
      <c r="I1465" s="48">
        <v>11</v>
      </c>
      <c r="J1465" s="49">
        <f>ROUND((3959*$T$1),0)*1.05</f>
        <v>4156.95</v>
      </c>
      <c r="K1465" s="49">
        <f>ROUND((4212*$T$1),0)*1.05</f>
        <v>4422.6000000000004</v>
      </c>
      <c r="L1465" s="49">
        <f>ROUND((4376*$T$1),0)*1.05</f>
        <v>4594.8</v>
      </c>
      <c r="M1465" s="49">
        <f>ROUND((4541*$T$1),0)*1.05</f>
        <v>4768.05</v>
      </c>
      <c r="N1465" s="49">
        <f>ROUND((4704*$T$1),0)*1.05</f>
        <v>4939.2</v>
      </c>
      <c r="O1465" s="49">
        <f>ROUND((4869*$T$1),0)*1.05</f>
        <v>5112.45</v>
      </c>
      <c r="P1465" s="49">
        <f>ROUND((5034*$T$1),0)*1.05</f>
        <v>5285.7</v>
      </c>
      <c r="Q1465" s="49">
        <f>ROUND((5199*$T$1),0)*1.05</f>
        <v>5458.95</v>
      </c>
      <c r="R1465" s="33"/>
      <c r="S1465" s="33"/>
      <c r="T1465" s="33"/>
      <c r="U1465" s="33"/>
    </row>
    <row r="1466" spans="1:21" ht="15" customHeight="1" x14ac:dyDescent="0.3">
      <c r="A1466" s="42"/>
      <c r="B1466" s="43" t="s">
        <v>849</v>
      </c>
      <c r="C1466" s="44" t="s">
        <v>45</v>
      </c>
      <c r="D1466" s="47">
        <v>1.9</v>
      </c>
      <c r="E1466" s="46" t="s">
        <v>47</v>
      </c>
      <c r="F1466" s="47">
        <v>1.9</v>
      </c>
      <c r="G1466" s="46" t="s">
        <v>48</v>
      </c>
      <c r="H1466" s="47">
        <v>0.98</v>
      </c>
      <c r="I1466" s="48">
        <v>11.5</v>
      </c>
      <c r="J1466" s="49">
        <f>ROUND((4167*$T$1),0)*1.05</f>
        <v>4375.3500000000004</v>
      </c>
      <c r="K1466" s="49">
        <f>ROUND((4434*$T$1),0)*1.05</f>
        <v>4655.7</v>
      </c>
      <c r="L1466" s="49">
        <f>ROUND((4607*$T$1),0)*1.05</f>
        <v>4837.3500000000004</v>
      </c>
      <c r="M1466" s="49">
        <f>ROUND((4780*$T$1),0)*1.05</f>
        <v>5019</v>
      </c>
      <c r="N1466" s="49">
        <f>ROUND((4953*$T$1),0)*1.05</f>
        <v>5200.6500000000005</v>
      </c>
      <c r="O1466" s="49">
        <f>ROUND((5125*$T$1),0)*1.05</f>
        <v>5381.25</v>
      </c>
      <c r="P1466" s="49">
        <f>ROUND((5298*$T$1),0)*1.05</f>
        <v>5562.9000000000005</v>
      </c>
      <c r="Q1466" s="49">
        <f>ROUND((5471*$T$1),0)*1.05</f>
        <v>5744.55</v>
      </c>
      <c r="R1466" s="33"/>
      <c r="S1466" s="33"/>
      <c r="T1466" s="33"/>
      <c r="U1466" s="33"/>
    </row>
    <row r="1467" spans="1:21" ht="15" customHeight="1" x14ac:dyDescent="0.3">
      <c r="A1467" s="42"/>
      <c r="B1467" s="43" t="s">
        <v>850</v>
      </c>
      <c r="C1467" s="44" t="s">
        <v>45</v>
      </c>
      <c r="D1467" s="47">
        <v>2</v>
      </c>
      <c r="E1467" s="46" t="s">
        <v>47</v>
      </c>
      <c r="F1467" s="47">
        <v>2</v>
      </c>
      <c r="G1467" s="46" t="s">
        <v>48</v>
      </c>
      <c r="H1467" s="47">
        <v>0.98</v>
      </c>
      <c r="I1467" s="48">
        <v>12</v>
      </c>
      <c r="J1467" s="49">
        <f>ROUND((4376*$T$1),0)*1.05</f>
        <v>4594.8</v>
      </c>
      <c r="K1467" s="49">
        <f>ROUND((4655*$T$1),0)*1.05</f>
        <v>4887.75</v>
      </c>
      <c r="L1467" s="49">
        <f>ROUND((4836*$T$1),0)*1.05</f>
        <v>5077.8</v>
      </c>
      <c r="M1467" s="49">
        <f>ROUND((5018*$T$1),0)*1.05</f>
        <v>5268.9000000000005</v>
      </c>
      <c r="N1467" s="49">
        <f>ROUND((5125*$T$1),0)*1.05</f>
        <v>5381.25</v>
      </c>
      <c r="O1467" s="49">
        <f>ROUND((5381*$T$1),0)*1.05</f>
        <v>5650.05</v>
      </c>
      <c r="P1467" s="49">
        <f>ROUND((5563*$T$1),0)*1.05</f>
        <v>5841.1500000000005</v>
      </c>
      <c r="Q1467" s="49">
        <f>ROUND((5745*$T$1),0)*1.05</f>
        <v>6032.25</v>
      </c>
      <c r="R1467" s="33"/>
      <c r="S1467" s="33"/>
      <c r="T1467" s="33"/>
      <c r="U1467" s="33"/>
    </row>
    <row r="1468" spans="1:21" ht="15" customHeight="1" x14ac:dyDescent="0.3">
      <c r="A1468" s="42"/>
      <c r="B1468" s="43"/>
      <c r="C1468" s="44"/>
      <c r="D1468" s="45"/>
      <c r="E1468" s="46"/>
      <c r="F1468" s="47"/>
      <c r="G1468" s="46"/>
      <c r="H1468" s="47"/>
      <c r="I1468" s="48"/>
      <c r="J1468" s="49"/>
      <c r="K1468" s="49"/>
      <c r="L1468" s="49"/>
      <c r="M1468" s="49"/>
      <c r="N1468" s="49"/>
      <c r="O1468" s="49"/>
      <c r="P1468" s="49"/>
      <c r="Q1468" s="49"/>
    </row>
    <row r="1469" spans="1:21" ht="15" customHeight="1" x14ac:dyDescent="0.3">
      <c r="A1469" s="42"/>
      <c r="B1469" s="97"/>
      <c r="C1469" s="98"/>
      <c r="D1469" s="99"/>
      <c r="E1469" s="99"/>
      <c r="F1469" s="99"/>
      <c r="G1469" s="99"/>
      <c r="H1469" s="99"/>
      <c r="I1469" s="100"/>
      <c r="J1469" s="101"/>
      <c r="K1469" s="101"/>
      <c r="L1469" s="101"/>
      <c r="M1469" s="87" t="s">
        <v>134</v>
      </c>
      <c r="N1469" s="101"/>
      <c r="O1469" s="101"/>
      <c r="P1469" s="101"/>
      <c r="Q1469" s="101"/>
    </row>
    <row r="1470" spans="1:21" ht="15" customHeight="1" x14ac:dyDescent="0.3">
      <c r="A1470" s="42"/>
      <c r="B1470" s="59"/>
      <c r="C1470" s="59" t="s">
        <v>511</v>
      </c>
      <c r="D1470" s="59"/>
      <c r="E1470" s="59"/>
      <c r="F1470" s="59"/>
      <c r="G1470" s="59"/>
      <c r="H1470" s="59"/>
      <c r="I1470" s="61"/>
      <c r="J1470" s="62"/>
      <c r="K1470" s="62"/>
      <c r="L1470" s="62"/>
      <c r="M1470" s="62"/>
      <c r="N1470" s="62"/>
      <c r="O1470" s="62"/>
      <c r="P1470" s="62"/>
      <c r="Q1470" s="62"/>
    </row>
    <row r="1472" spans="1:21" ht="29.1" customHeight="1" x14ac:dyDescent="0.25">
      <c r="A1472" s="127" t="s">
        <v>851</v>
      </c>
      <c r="B1472" s="77"/>
      <c r="C1472" s="187" t="s">
        <v>41</v>
      </c>
      <c r="D1472" s="187"/>
      <c r="E1472" s="187"/>
      <c r="F1472" s="187"/>
      <c r="G1472" s="187"/>
      <c r="H1472" s="187"/>
      <c r="I1472" s="78" t="s">
        <v>42</v>
      </c>
      <c r="J1472" s="41" t="s">
        <v>43</v>
      </c>
      <c r="K1472" s="41">
        <v>1000</v>
      </c>
      <c r="L1472" s="41">
        <v>2000</v>
      </c>
      <c r="M1472" s="41">
        <v>3000</v>
      </c>
      <c r="N1472" s="41">
        <v>4000</v>
      </c>
      <c r="O1472" s="41">
        <v>5000</v>
      </c>
      <c r="P1472" s="41">
        <v>6000</v>
      </c>
      <c r="Q1472" s="41">
        <v>7000</v>
      </c>
    </row>
    <row r="1473" spans="1:21" ht="15" customHeight="1" x14ac:dyDescent="0.3">
      <c r="A1473" s="42"/>
      <c r="B1473" s="43" t="s">
        <v>852</v>
      </c>
      <c r="C1473" s="44" t="s">
        <v>45</v>
      </c>
      <c r="D1473" s="47">
        <v>1.2</v>
      </c>
      <c r="E1473" s="46" t="s">
        <v>47</v>
      </c>
      <c r="F1473" s="47">
        <v>1.2</v>
      </c>
      <c r="G1473" s="46" t="s">
        <v>48</v>
      </c>
      <c r="H1473" s="47">
        <v>0.98</v>
      </c>
      <c r="I1473" s="48">
        <v>7</v>
      </c>
      <c r="J1473" s="49">
        <f>ROUND((3006*$T$1),0)*1.05</f>
        <v>3156.3</v>
      </c>
      <c r="K1473" s="49">
        <f>ROUND((3198*$T$1),0)*1.05</f>
        <v>3357.9</v>
      </c>
      <c r="L1473" s="49">
        <f>ROUND((3330*$T$1),0)*1.05</f>
        <v>3496.5</v>
      </c>
      <c r="M1473" s="49">
        <f>ROUND((3464*$T$1),0)*1.05</f>
        <v>3637.2000000000003</v>
      </c>
      <c r="N1473" s="49">
        <f>ROUND((3596*$T$1),0)*1.05</f>
        <v>3775.8</v>
      </c>
      <c r="O1473" s="49">
        <f>ROUND((3730*$T$1),0)*1.05</f>
        <v>3916.5</v>
      </c>
      <c r="P1473" s="49">
        <f>ROUND((3864*$T$1),0)*1.05</f>
        <v>4057.2000000000003</v>
      </c>
      <c r="Q1473" s="49">
        <f>ROUND((3998*$T$1),0)*1.05</f>
        <v>4197.9000000000005</v>
      </c>
      <c r="R1473" s="33"/>
      <c r="S1473" s="33"/>
      <c r="T1473" s="33"/>
      <c r="U1473" s="33"/>
    </row>
    <row r="1474" spans="1:21" ht="15" customHeight="1" x14ac:dyDescent="0.3">
      <c r="A1474" s="42"/>
      <c r="B1474" s="43" t="s">
        <v>844</v>
      </c>
      <c r="C1474" s="44" t="s">
        <v>45</v>
      </c>
      <c r="D1474" s="47">
        <v>1.4</v>
      </c>
      <c r="E1474" s="46" t="s">
        <v>47</v>
      </c>
      <c r="F1474" s="47">
        <v>1.4</v>
      </c>
      <c r="G1474" s="46" t="s">
        <v>48</v>
      </c>
      <c r="H1474" s="47">
        <v>0.98</v>
      </c>
      <c r="I1474" s="48">
        <v>8</v>
      </c>
      <c r="J1474" s="49">
        <f>ROUND((3164*$T$1),0)*1.05</f>
        <v>3322.2000000000003</v>
      </c>
      <c r="K1474" s="49">
        <f>ROUND((3366*$T$1),0)*1.05</f>
        <v>3534.3</v>
      </c>
      <c r="L1474" s="49">
        <f>ROUND((3506*$T$1),0)*1.05</f>
        <v>3681.3</v>
      </c>
      <c r="M1474" s="49">
        <f>ROUND((3646*$T$1),0)*1.05</f>
        <v>3828.3</v>
      </c>
      <c r="N1474" s="49">
        <f>ROUND((3786*$T$1),0)*1.05</f>
        <v>3975.3</v>
      </c>
      <c r="O1474" s="49">
        <f>ROUND((3926*$T$1),0)*1.05</f>
        <v>4122.3</v>
      </c>
      <c r="P1474" s="49">
        <f>ROUND((4066*$T$1),0)*1.05</f>
        <v>4269.3</v>
      </c>
      <c r="Q1474" s="49">
        <f>ROUND((4206*$T$1),0)*1.05</f>
        <v>4416.3</v>
      </c>
      <c r="R1474" s="33"/>
      <c r="S1474" s="33"/>
      <c r="T1474" s="33"/>
      <c r="U1474" s="33"/>
    </row>
    <row r="1475" spans="1:21" ht="15" customHeight="1" x14ac:dyDescent="0.3">
      <c r="A1475" s="42"/>
      <c r="B1475" s="43" t="s">
        <v>846</v>
      </c>
      <c r="C1475" s="44" t="s">
        <v>45</v>
      </c>
      <c r="D1475" s="47">
        <v>1.6</v>
      </c>
      <c r="E1475" s="46" t="s">
        <v>47</v>
      </c>
      <c r="F1475" s="47">
        <v>1.6</v>
      </c>
      <c r="G1475" s="46" t="s">
        <v>48</v>
      </c>
      <c r="H1475" s="47">
        <v>0.98</v>
      </c>
      <c r="I1475" s="48">
        <v>9</v>
      </c>
      <c r="J1475" s="49">
        <f>ROUND((3330*$T$1),0)*1.05</f>
        <v>3496.5</v>
      </c>
      <c r="K1475" s="49">
        <f>ROUND((3543*$T$1),0)*1.05</f>
        <v>3720.15</v>
      </c>
      <c r="L1475" s="49">
        <f>ROUND((3690*$T$1),0)*1.05</f>
        <v>3874.5</v>
      </c>
      <c r="M1475" s="49">
        <f>ROUND((3838*$T$1),0)*1.05</f>
        <v>4029.9</v>
      </c>
      <c r="N1475" s="49">
        <f>ROUND((3985*$T$1),0)*1.05</f>
        <v>4184.25</v>
      </c>
      <c r="O1475" s="49">
        <f>ROUND((4133*$T$1),0)*1.05</f>
        <v>4339.6500000000005</v>
      </c>
      <c r="P1475" s="49">
        <f>ROUND((4280*$T$1),0)*1.05</f>
        <v>4494</v>
      </c>
      <c r="Q1475" s="49">
        <f>ROUND((4427*$T$1),0)*1.05</f>
        <v>4648.3500000000004</v>
      </c>
      <c r="R1475" s="33"/>
      <c r="S1475" s="33"/>
      <c r="T1475" s="33"/>
      <c r="U1475" s="33"/>
    </row>
    <row r="1476" spans="1:21" ht="15" customHeight="1" x14ac:dyDescent="0.3">
      <c r="A1476" s="42"/>
      <c r="B1476" s="43" t="s">
        <v>848</v>
      </c>
      <c r="C1476" s="44" t="s">
        <v>45</v>
      </c>
      <c r="D1476" s="47">
        <v>1.8</v>
      </c>
      <c r="E1476" s="46" t="s">
        <v>47</v>
      </c>
      <c r="F1476" s="47">
        <v>1.8</v>
      </c>
      <c r="G1476" s="46" t="s">
        <v>48</v>
      </c>
      <c r="H1476" s="47">
        <v>0.98</v>
      </c>
      <c r="I1476" s="48">
        <v>11</v>
      </c>
      <c r="J1476" s="49">
        <f>ROUND((3497*$T$1),0)*1.05</f>
        <v>3671.8500000000004</v>
      </c>
      <c r="K1476" s="49">
        <f>ROUND((3720*$T$1),0)*1.05</f>
        <v>3906</v>
      </c>
      <c r="L1476" s="49">
        <f>ROUND((3875*$T$1),0)*1.05</f>
        <v>4068.75</v>
      </c>
      <c r="M1476" s="49">
        <f>ROUND((4030*$T$1),0)*1.05</f>
        <v>4231.5</v>
      </c>
      <c r="N1476" s="49">
        <f>ROUND((4184*$T$1),0)*1.05</f>
        <v>4393.2</v>
      </c>
      <c r="O1476" s="49">
        <f>ROUND((4340*$T$1),0)*1.05</f>
        <v>4557</v>
      </c>
      <c r="P1476" s="49">
        <f>ROUND((4495*$T$1),0)*1.05</f>
        <v>4719.75</v>
      </c>
      <c r="Q1476" s="49">
        <f>ROUND((4650*$T$1),0)*1.05</f>
        <v>4882.5</v>
      </c>
      <c r="R1476" s="33"/>
      <c r="S1476" s="33"/>
      <c r="T1476" s="33"/>
      <c r="U1476" s="33"/>
    </row>
    <row r="1477" spans="1:21" ht="15" customHeight="1" x14ac:dyDescent="0.3">
      <c r="A1477" s="42"/>
      <c r="B1477" s="126"/>
      <c r="C1477" s="98"/>
      <c r="D1477" s="99"/>
      <c r="E1477" s="99"/>
      <c r="F1477" s="99"/>
      <c r="G1477" s="99"/>
      <c r="H1477" s="99"/>
      <c r="I1477" s="100"/>
      <c r="J1477" s="101"/>
      <c r="K1477" s="101"/>
      <c r="L1477" s="101"/>
      <c r="M1477" s="101"/>
      <c r="N1477" s="101"/>
      <c r="O1477" s="101"/>
      <c r="P1477" s="101"/>
      <c r="Q1477" s="101"/>
    </row>
    <row r="1478" spans="1:21" ht="15" customHeight="1" x14ac:dyDescent="0.3">
      <c r="A1478" s="42"/>
      <c r="B1478" s="97"/>
      <c r="C1478" s="98"/>
      <c r="D1478" s="99"/>
      <c r="E1478" s="99"/>
      <c r="F1478" s="99"/>
      <c r="G1478" s="99"/>
      <c r="H1478" s="99"/>
      <c r="I1478" s="100"/>
      <c r="J1478" s="101"/>
      <c r="K1478" s="101"/>
      <c r="L1478" s="101"/>
      <c r="M1478" s="87" t="s">
        <v>134</v>
      </c>
      <c r="N1478" s="101"/>
      <c r="O1478" s="101"/>
      <c r="P1478" s="101"/>
      <c r="Q1478" s="101"/>
    </row>
    <row r="1479" spans="1:21" ht="15" customHeight="1" x14ac:dyDescent="0.3">
      <c r="A1479" s="42"/>
      <c r="B1479" s="59"/>
      <c r="C1479" s="59" t="s">
        <v>511</v>
      </c>
      <c r="D1479" s="59"/>
      <c r="E1479" s="59"/>
      <c r="F1479" s="59"/>
      <c r="G1479" s="59"/>
      <c r="H1479" s="59"/>
      <c r="I1479" s="61"/>
      <c r="J1479" s="62"/>
      <c r="K1479" s="62"/>
      <c r="L1479" s="62"/>
      <c r="M1479" s="62"/>
      <c r="N1479" s="62"/>
      <c r="O1479" s="62"/>
      <c r="P1479" s="62"/>
      <c r="Q1479" s="62"/>
    </row>
    <row r="1481" spans="1:21" ht="29.1" customHeight="1" x14ac:dyDescent="0.25">
      <c r="A1481" s="127" t="s">
        <v>853</v>
      </c>
      <c r="B1481" s="77"/>
      <c r="C1481" s="187" t="s">
        <v>41</v>
      </c>
      <c r="D1481" s="187"/>
      <c r="E1481" s="187"/>
      <c r="F1481" s="187"/>
      <c r="G1481" s="187"/>
      <c r="H1481" s="187"/>
      <c r="I1481" s="78" t="s">
        <v>42</v>
      </c>
      <c r="J1481" s="41" t="s">
        <v>43</v>
      </c>
      <c r="K1481" s="41">
        <v>1000</v>
      </c>
      <c r="L1481" s="41">
        <v>2000</v>
      </c>
      <c r="M1481" s="41">
        <v>3000</v>
      </c>
      <c r="N1481" s="41">
        <v>4000</v>
      </c>
      <c r="O1481" s="41">
        <v>5000</v>
      </c>
      <c r="P1481" s="41">
        <v>6000</v>
      </c>
      <c r="Q1481" s="41">
        <v>7000</v>
      </c>
    </row>
    <row r="1482" spans="1:21" ht="15" customHeight="1" x14ac:dyDescent="0.3">
      <c r="A1482" s="42"/>
      <c r="B1482" s="43" t="s">
        <v>854</v>
      </c>
      <c r="C1482" s="44" t="s">
        <v>45</v>
      </c>
      <c r="D1482" s="47">
        <v>1.2</v>
      </c>
      <c r="E1482" s="46" t="s">
        <v>47</v>
      </c>
      <c r="F1482" s="47">
        <v>1.6</v>
      </c>
      <c r="G1482" s="46" t="s">
        <v>48</v>
      </c>
      <c r="H1482" s="47">
        <v>0.9</v>
      </c>
      <c r="I1482" s="48">
        <v>10.5</v>
      </c>
      <c r="J1482" s="49">
        <f>ROUND((2795*$T$1),0)*1.05</f>
        <v>2934.75</v>
      </c>
      <c r="K1482" s="49">
        <f>ROUND((2974*$T$1),0)*1.05</f>
        <v>3122.7000000000003</v>
      </c>
      <c r="L1482" s="49">
        <f>ROUND((3116*$T$1),0)*1.05</f>
        <v>3271.8</v>
      </c>
      <c r="M1482" s="49">
        <f>ROUND((3258*$T$1),0)*1.05</f>
        <v>3420.9</v>
      </c>
      <c r="N1482" s="49">
        <f>ROUND((3401*$T$1),0)*1.05</f>
        <v>3571.05</v>
      </c>
      <c r="O1482" s="49">
        <f>ROUND((3543*$T$1),0)*1.05</f>
        <v>3720.15</v>
      </c>
      <c r="P1482" s="49">
        <f>ROUND((4685*$T$1),0)*1.05</f>
        <v>4919.25</v>
      </c>
      <c r="Q1482" s="49">
        <f>ROUND((3827*$T$1),0)*1.05</f>
        <v>4018.3500000000004</v>
      </c>
      <c r="R1482" s="33"/>
      <c r="S1482" s="33"/>
      <c r="T1482" s="33"/>
      <c r="U1482" s="33"/>
    </row>
    <row r="1483" spans="1:21" ht="15" customHeight="1" x14ac:dyDescent="0.3">
      <c r="A1483" s="42"/>
      <c r="B1483" s="43" t="s">
        <v>855</v>
      </c>
      <c r="C1483" s="44" t="s">
        <v>45</v>
      </c>
      <c r="D1483" s="47">
        <v>1.3</v>
      </c>
      <c r="E1483" s="46" t="s">
        <v>47</v>
      </c>
      <c r="F1483" s="47">
        <v>1.6</v>
      </c>
      <c r="G1483" s="46" t="s">
        <v>48</v>
      </c>
      <c r="H1483" s="47">
        <v>0.9</v>
      </c>
      <c r="I1483" s="48">
        <v>11</v>
      </c>
      <c r="J1483" s="49">
        <f>ROUND((2942*$T$1),0)*1.05</f>
        <v>3089.1</v>
      </c>
      <c r="K1483" s="49">
        <f>ROUND((3129*$T$1),0)*1.05</f>
        <v>3285.4500000000003</v>
      </c>
      <c r="L1483" s="49">
        <f>ROUND((3280*$T$1),0)*1.05</f>
        <v>3444</v>
      </c>
      <c r="M1483" s="49">
        <f>ROUND((3429*$T$1),0)*1.05</f>
        <v>3600.4500000000003</v>
      </c>
      <c r="N1483" s="49">
        <f>ROUND((3508*$T$1),0)*1.05</f>
        <v>3683.4</v>
      </c>
      <c r="O1483" s="49">
        <f>ROUND((3729*$T$1),0)*1.05</f>
        <v>3915.4500000000003</v>
      </c>
      <c r="P1483" s="49">
        <f>ROUND((3878*$T$1),0)*1.05</f>
        <v>4071.9</v>
      </c>
      <c r="Q1483" s="49">
        <f>ROUND((4027*$T$1),0)*1.05</f>
        <v>4228.3500000000004</v>
      </c>
      <c r="R1483" s="33"/>
      <c r="S1483" s="33"/>
      <c r="T1483" s="33"/>
      <c r="U1483" s="33"/>
    </row>
    <row r="1484" spans="1:21" ht="15" customHeight="1" x14ac:dyDescent="0.3">
      <c r="A1484" s="42"/>
      <c r="B1484" s="43" t="s">
        <v>856</v>
      </c>
      <c r="C1484" s="44" t="s">
        <v>45</v>
      </c>
      <c r="D1484" s="47">
        <v>1.4</v>
      </c>
      <c r="E1484" s="46" t="s">
        <v>47</v>
      </c>
      <c r="F1484" s="47">
        <v>1.6</v>
      </c>
      <c r="G1484" s="46" t="s">
        <v>48</v>
      </c>
      <c r="H1484" s="47">
        <v>0.9</v>
      </c>
      <c r="I1484" s="48">
        <v>12</v>
      </c>
      <c r="J1484" s="49">
        <f>ROUND((3097*$T$1),0)*1.05</f>
        <v>3251.8500000000004</v>
      </c>
      <c r="K1484" s="49">
        <f>ROUND((3295*$T$1),0)*1.05</f>
        <v>3459.75</v>
      </c>
      <c r="L1484" s="49">
        <f>ROUND((3452*$T$1),0)*1.05</f>
        <v>3624.6000000000004</v>
      </c>
      <c r="M1484" s="49">
        <f>ROUND((3610*$T$1),0)*1.05</f>
        <v>3790.5</v>
      </c>
      <c r="N1484" s="49">
        <f>ROUND((3767*$T$1),0)*1.05</f>
        <v>3955.3500000000004</v>
      </c>
      <c r="O1484" s="49">
        <f>ROUND((3925*$T$1),0)*1.05</f>
        <v>4121.25</v>
      </c>
      <c r="P1484" s="49">
        <f>ROUND((4083*$T$1),0)*1.05</f>
        <v>4287.1500000000005</v>
      </c>
      <c r="Q1484" s="49">
        <f>ROUND((4241*$T$1),0)*1.05</f>
        <v>4453.05</v>
      </c>
      <c r="R1484" s="33"/>
      <c r="S1484" s="33"/>
      <c r="T1484" s="33"/>
      <c r="U1484" s="33"/>
    </row>
    <row r="1485" spans="1:21" ht="15" customHeight="1" x14ac:dyDescent="0.3">
      <c r="A1485" s="42"/>
      <c r="B1485" s="43" t="s">
        <v>857</v>
      </c>
      <c r="C1485" s="44" t="s">
        <v>45</v>
      </c>
      <c r="D1485" s="47">
        <v>1.5</v>
      </c>
      <c r="E1485" s="46" t="s">
        <v>47</v>
      </c>
      <c r="F1485" s="47">
        <v>1.6</v>
      </c>
      <c r="G1485" s="46" t="s">
        <v>48</v>
      </c>
      <c r="H1485" s="47">
        <v>0.9</v>
      </c>
      <c r="I1485" s="48">
        <v>12.5</v>
      </c>
      <c r="J1485" s="49">
        <f>ROUND((3259*$T$1),0)*1.05</f>
        <v>3421.9500000000003</v>
      </c>
      <c r="K1485" s="49">
        <f>ROUND((3468*$T$1),0)*1.05</f>
        <v>3641.4</v>
      </c>
      <c r="L1485" s="49">
        <f>ROUND((3634*$T$1),0)*1.05</f>
        <v>3815.7000000000003</v>
      </c>
      <c r="M1485" s="49">
        <f>ROUND((3800*$T$1),0)*1.05</f>
        <v>3990</v>
      </c>
      <c r="N1485" s="49">
        <f>ROUND((3965*$T$1),0)*1.05</f>
        <v>4163.25</v>
      </c>
      <c r="O1485" s="49">
        <f>ROUND((4132*$T$1),0)*1.05</f>
        <v>4338.6000000000004</v>
      </c>
      <c r="P1485" s="49">
        <f>ROUND((4298*$T$1),0)*1.05</f>
        <v>4512.9000000000005</v>
      </c>
      <c r="Q1485" s="49">
        <f>ROUND((4464*$T$1),0)*1.05</f>
        <v>4687.2</v>
      </c>
      <c r="R1485" s="33"/>
      <c r="S1485" s="33"/>
      <c r="T1485" s="33"/>
      <c r="U1485" s="33"/>
    </row>
    <row r="1486" spans="1:21" ht="15" customHeight="1" x14ac:dyDescent="0.3">
      <c r="A1486" s="42"/>
      <c r="B1486" s="43" t="s">
        <v>858</v>
      </c>
      <c r="C1486" s="44" t="s">
        <v>45</v>
      </c>
      <c r="D1486" s="47">
        <v>1.6</v>
      </c>
      <c r="E1486" s="46" t="s">
        <v>47</v>
      </c>
      <c r="F1486" s="47">
        <v>1.7</v>
      </c>
      <c r="G1486" s="46" t="s">
        <v>48</v>
      </c>
      <c r="H1486" s="47">
        <v>0.9</v>
      </c>
      <c r="I1486" s="48">
        <v>13</v>
      </c>
      <c r="J1486" s="49">
        <f>ROUND((3431*$T$1),0)*1.05</f>
        <v>3602.55</v>
      </c>
      <c r="K1486" s="49">
        <f>ROUND((3650*$T$1),0)*1.05</f>
        <v>3832.5</v>
      </c>
      <c r="L1486" s="49">
        <f>ROUND((3826*$T$1),0)*1.05</f>
        <v>4017.3</v>
      </c>
      <c r="M1486" s="49">
        <f>ROUND((3999*$T$1),0)*1.05</f>
        <v>4198.95</v>
      </c>
      <c r="N1486" s="49">
        <f>ROUND((4175*$T$1),0)*1.05</f>
        <v>4383.75</v>
      </c>
      <c r="O1486" s="49">
        <f>ROUND((4349*$T$1),0)*1.05</f>
        <v>4566.45</v>
      </c>
      <c r="P1486" s="49">
        <f>ROUND((4525*$T$1),0)*1.05</f>
        <v>4751.25</v>
      </c>
      <c r="Q1486" s="49">
        <f>ROUND((4701*$T$1),0)*1.05</f>
        <v>4936.05</v>
      </c>
      <c r="R1486" s="33"/>
      <c r="S1486" s="33"/>
      <c r="T1486" s="33"/>
      <c r="U1486" s="33"/>
    </row>
    <row r="1487" spans="1:21" ht="15" customHeight="1" x14ac:dyDescent="0.3">
      <c r="A1487" s="42"/>
      <c r="B1487" s="126"/>
      <c r="C1487" s="98"/>
      <c r="D1487" s="99"/>
      <c r="E1487" s="99"/>
      <c r="F1487" s="99"/>
      <c r="G1487" s="99"/>
      <c r="H1487" s="99"/>
      <c r="I1487" s="100"/>
      <c r="J1487" s="101"/>
      <c r="K1487" s="101"/>
      <c r="L1487" s="101"/>
      <c r="M1487" s="101"/>
      <c r="N1487" s="101"/>
      <c r="O1487" s="101"/>
      <c r="P1487" s="101"/>
      <c r="Q1487" s="101"/>
    </row>
    <row r="1488" spans="1:21" ht="15" customHeight="1" x14ac:dyDescent="0.3">
      <c r="A1488" s="42"/>
      <c r="B1488" s="97"/>
      <c r="C1488" s="98"/>
      <c r="D1488" s="99"/>
      <c r="E1488" s="99"/>
      <c r="F1488" s="99"/>
      <c r="G1488" s="99"/>
      <c r="H1488" s="99"/>
      <c r="I1488" s="100"/>
      <c r="J1488" s="101"/>
      <c r="K1488" s="101"/>
      <c r="L1488" s="101"/>
      <c r="M1488" s="87" t="s">
        <v>134</v>
      </c>
      <c r="N1488" s="101"/>
      <c r="O1488" s="101"/>
      <c r="P1488" s="101"/>
      <c r="Q1488" s="101"/>
    </row>
    <row r="1489" spans="1:21" ht="15" customHeight="1" x14ac:dyDescent="0.3">
      <c r="A1489" s="42"/>
      <c r="B1489" s="59" t="s">
        <v>511</v>
      </c>
      <c r="C1489" s="160"/>
      <c r="D1489" s="59"/>
      <c r="E1489" s="59"/>
      <c r="F1489" s="59"/>
      <c r="G1489" s="59"/>
      <c r="H1489" s="59"/>
      <c r="I1489" s="61"/>
      <c r="J1489" s="62"/>
      <c r="K1489" s="62"/>
      <c r="L1489" s="62"/>
      <c r="M1489" s="62"/>
      <c r="N1489" s="62"/>
      <c r="O1489" s="62"/>
      <c r="P1489" s="62"/>
      <c r="Q1489" s="62"/>
    </row>
    <row r="1491" spans="1:21" ht="29.1" customHeight="1" x14ac:dyDescent="0.25">
      <c r="A1491" s="127" t="s">
        <v>859</v>
      </c>
      <c r="B1491" s="77"/>
      <c r="C1491" s="187" t="s">
        <v>41</v>
      </c>
      <c r="D1491" s="187"/>
      <c r="E1491" s="187"/>
      <c r="F1491" s="187"/>
      <c r="G1491" s="187"/>
      <c r="H1491" s="187"/>
      <c r="I1491" s="78" t="s">
        <v>42</v>
      </c>
      <c r="J1491" s="41" t="s">
        <v>43</v>
      </c>
      <c r="K1491" s="41">
        <v>1000</v>
      </c>
      <c r="L1491" s="41">
        <v>2000</v>
      </c>
      <c r="M1491" s="41">
        <v>3000</v>
      </c>
      <c r="N1491" s="41">
        <v>4000</v>
      </c>
      <c r="O1491" s="41">
        <v>5000</v>
      </c>
      <c r="P1491" s="41">
        <v>6000</v>
      </c>
      <c r="Q1491" s="41">
        <v>7000</v>
      </c>
    </row>
    <row r="1492" spans="1:21" ht="15" customHeight="1" x14ac:dyDescent="0.3">
      <c r="A1492" s="42"/>
      <c r="B1492" s="43"/>
      <c r="C1492" s="44"/>
      <c r="D1492" s="47"/>
      <c r="E1492" s="46"/>
      <c r="F1492" s="47"/>
      <c r="G1492" s="46"/>
      <c r="H1492" s="47"/>
      <c r="I1492" s="48"/>
      <c r="J1492" s="49"/>
      <c r="K1492" s="49"/>
      <c r="L1492" s="49"/>
      <c r="M1492" s="49"/>
      <c r="N1492" s="49"/>
      <c r="O1492" s="49"/>
      <c r="P1492" s="49"/>
      <c r="Q1492" s="49"/>
      <c r="R1492" s="33"/>
      <c r="S1492" s="33"/>
      <c r="T1492" s="33"/>
      <c r="U1492" s="33"/>
    </row>
    <row r="1493" spans="1:21" ht="15" customHeight="1" x14ac:dyDescent="0.3">
      <c r="A1493" s="42"/>
      <c r="B1493" s="43" t="s">
        <v>860</v>
      </c>
      <c r="C1493" s="44" t="s">
        <v>45</v>
      </c>
      <c r="D1493" s="47">
        <v>1.82</v>
      </c>
      <c r="E1493" s="46" t="s">
        <v>47</v>
      </c>
      <c r="F1493" s="47">
        <v>1.23</v>
      </c>
      <c r="G1493" s="46" t="s">
        <v>48</v>
      </c>
      <c r="H1493" s="47">
        <v>0.9</v>
      </c>
      <c r="I1493" s="48">
        <v>7</v>
      </c>
      <c r="J1493" s="49">
        <f>ROUND((3764*$T$1),0)*1.05</f>
        <v>3952.2000000000003</v>
      </c>
      <c r="K1493" s="49">
        <f>ROUND((4005*$T$1),0)*1.05</f>
        <v>4205.25</v>
      </c>
      <c r="L1493" s="49">
        <f>ROUND((4150*$T$1),0)*1.05</f>
        <v>4357.5</v>
      </c>
      <c r="M1493" s="49">
        <f>ROUND((4292*$T$1),0)*1.05</f>
        <v>4506.6000000000004</v>
      </c>
      <c r="N1493" s="49">
        <f>ROUND((4436*$T$1),0)*1.05</f>
        <v>4657.8</v>
      </c>
      <c r="O1493" s="49">
        <f>ROUND((4580*$T$1),0)*1.05</f>
        <v>4809</v>
      </c>
      <c r="P1493" s="49">
        <f>ROUND((4724*$T$1),0)*1.05</f>
        <v>4960.2</v>
      </c>
      <c r="Q1493" s="49">
        <f>ROUND((4868*$T$1),0)*1.05</f>
        <v>5111.4000000000005</v>
      </c>
      <c r="R1493" s="33"/>
      <c r="S1493" s="33"/>
      <c r="T1493" s="33"/>
      <c r="U1493" s="33"/>
    </row>
    <row r="1494" spans="1:21" ht="15" customHeight="1" x14ac:dyDescent="0.3">
      <c r="A1494" s="42"/>
      <c r="B1494" s="43"/>
      <c r="C1494" s="44"/>
      <c r="D1494" s="47"/>
      <c r="E1494" s="46"/>
      <c r="F1494" s="47"/>
      <c r="G1494" s="46"/>
      <c r="H1494" s="47"/>
      <c r="I1494" s="48"/>
      <c r="J1494" s="49"/>
      <c r="K1494" s="49"/>
      <c r="L1494" s="49"/>
      <c r="M1494" s="49"/>
      <c r="N1494" s="49"/>
      <c r="O1494" s="49"/>
      <c r="P1494" s="49"/>
      <c r="Q1494" s="49"/>
      <c r="R1494" s="33"/>
      <c r="S1494" s="33"/>
      <c r="T1494" s="33"/>
      <c r="U1494" s="33"/>
    </row>
    <row r="1495" spans="1:21" ht="15" customHeight="1" x14ac:dyDescent="0.3">
      <c r="A1495" s="42"/>
      <c r="B1495" s="43"/>
      <c r="C1495" s="44"/>
      <c r="D1495" s="47"/>
      <c r="E1495" s="46"/>
      <c r="F1495" s="47"/>
      <c r="G1495" s="46"/>
      <c r="H1495" s="47"/>
      <c r="I1495" s="48"/>
      <c r="J1495" s="49"/>
      <c r="K1495" s="49"/>
      <c r="L1495" s="49"/>
      <c r="M1495" s="49"/>
      <c r="N1495" s="49"/>
      <c r="O1495" s="49"/>
      <c r="P1495" s="49"/>
      <c r="Q1495" s="49"/>
      <c r="R1495" s="33"/>
      <c r="S1495" s="33"/>
      <c r="T1495" s="33"/>
      <c r="U1495" s="33"/>
    </row>
    <row r="1496" spans="1:21" ht="15" customHeight="1" x14ac:dyDescent="0.3">
      <c r="A1496" s="42"/>
      <c r="B1496" s="126"/>
      <c r="C1496" s="98"/>
      <c r="D1496" s="99"/>
      <c r="E1496" s="99"/>
      <c r="F1496" s="99"/>
      <c r="G1496" s="99"/>
      <c r="H1496" s="99"/>
      <c r="I1496" s="100"/>
      <c r="J1496" s="101"/>
      <c r="K1496" s="101"/>
      <c r="L1496" s="101"/>
      <c r="M1496" s="101"/>
      <c r="N1496" s="101"/>
      <c r="O1496" s="101"/>
      <c r="P1496" s="101"/>
      <c r="Q1496" s="101"/>
    </row>
    <row r="1497" spans="1:21" ht="15" customHeight="1" x14ac:dyDescent="0.3">
      <c r="A1497" s="42"/>
      <c r="B1497" s="97"/>
      <c r="C1497" s="98"/>
      <c r="D1497" s="99"/>
      <c r="E1497" s="99"/>
      <c r="F1497" s="99"/>
      <c r="G1497" s="99"/>
      <c r="H1497" s="99"/>
      <c r="I1497" s="100"/>
      <c r="J1497" s="101"/>
      <c r="K1497" s="101"/>
      <c r="L1497" s="101"/>
      <c r="M1497" s="87" t="s">
        <v>134</v>
      </c>
      <c r="N1497" s="101"/>
      <c r="O1497" s="101"/>
      <c r="P1497" s="101"/>
      <c r="Q1497" s="101"/>
    </row>
    <row r="1498" spans="1:21" ht="15" customHeight="1" x14ac:dyDescent="0.3">
      <c r="A1498" s="42"/>
      <c r="B1498" s="59" t="s">
        <v>511</v>
      </c>
      <c r="C1498" s="59"/>
      <c r="D1498" s="59"/>
      <c r="E1498" s="59"/>
      <c r="F1498" s="59"/>
      <c r="G1498" s="59"/>
      <c r="H1498" s="59"/>
      <c r="I1498" s="61"/>
      <c r="J1498" s="62"/>
      <c r="K1498" s="62"/>
      <c r="L1498" s="62"/>
      <c r="M1498" s="62"/>
      <c r="N1498" s="62"/>
      <c r="O1498" s="62"/>
      <c r="P1498" s="62"/>
      <c r="Q1498" s="62"/>
    </row>
    <row r="1500" spans="1:21" ht="29.1" customHeight="1" x14ac:dyDescent="0.25">
      <c r="A1500" s="127" t="s">
        <v>861</v>
      </c>
      <c r="B1500" s="77"/>
      <c r="C1500" s="187" t="s">
        <v>41</v>
      </c>
      <c r="D1500" s="187"/>
      <c r="E1500" s="187"/>
      <c r="F1500" s="187"/>
      <c r="G1500" s="187"/>
      <c r="H1500" s="187"/>
      <c r="I1500" s="78" t="s">
        <v>42</v>
      </c>
      <c r="J1500" s="41" t="s">
        <v>43</v>
      </c>
      <c r="K1500" s="41">
        <v>1000</v>
      </c>
      <c r="L1500" s="41">
        <v>2000</v>
      </c>
      <c r="M1500" s="41">
        <v>3000</v>
      </c>
      <c r="N1500" s="41">
        <v>4000</v>
      </c>
      <c r="O1500" s="41">
        <v>5000</v>
      </c>
      <c r="P1500" s="41">
        <v>6000</v>
      </c>
      <c r="Q1500" s="41">
        <v>7000</v>
      </c>
    </row>
    <row r="1501" spans="1:21" ht="18.75" x14ac:dyDescent="0.3">
      <c r="B1501" s="43" t="s">
        <v>862</v>
      </c>
      <c r="C1501" s="44" t="s">
        <v>45</v>
      </c>
      <c r="D1501" s="45" t="s">
        <v>301</v>
      </c>
      <c r="E1501" s="46" t="s">
        <v>47</v>
      </c>
      <c r="F1501" s="47">
        <v>0.95</v>
      </c>
      <c r="G1501" s="46" t="s">
        <v>48</v>
      </c>
      <c r="H1501" s="47">
        <v>0.98</v>
      </c>
      <c r="I1501" s="48">
        <v>12</v>
      </c>
      <c r="J1501" s="49">
        <f>ROUND((3209*$T$1),0)*1.05</f>
        <v>3369.4500000000003</v>
      </c>
      <c r="K1501" s="49">
        <f>ROUND((3257*$T$1),0)*1.05</f>
        <v>3419.8500000000004</v>
      </c>
      <c r="L1501" s="49">
        <f>ROUND((3303*$T$1),0)*1.05</f>
        <v>3468.15</v>
      </c>
      <c r="M1501" s="49">
        <f>ROUND((3432*$T$1),0)*1.05</f>
        <v>3603.6000000000004</v>
      </c>
      <c r="N1501" s="49">
        <f>ROUND((3591*$T$1),0)*1.05</f>
        <v>3770.55</v>
      </c>
      <c r="O1501" s="49">
        <f>ROUND((3750*$T$1),0)*1.05</f>
        <v>3937.5</v>
      </c>
      <c r="P1501" s="49">
        <f>ROUND((3909*$T$1),0)*1.05</f>
        <v>4104.45</v>
      </c>
      <c r="Q1501" s="49">
        <f>ROUND((4068*$T$1),0)*1.05</f>
        <v>4271.4000000000005</v>
      </c>
    </row>
    <row r="1502" spans="1:21" ht="18.75" x14ac:dyDescent="0.3">
      <c r="B1502" s="43"/>
      <c r="C1502" s="44"/>
      <c r="D1502" s="45"/>
      <c r="E1502" s="46"/>
      <c r="F1502" s="47"/>
      <c r="G1502" s="46"/>
      <c r="H1502" s="47"/>
      <c r="I1502" s="48"/>
      <c r="J1502" s="49"/>
      <c r="K1502" s="49"/>
      <c r="L1502" s="49"/>
      <c r="M1502" s="49"/>
      <c r="N1502" s="49"/>
      <c r="O1502" s="49"/>
      <c r="P1502" s="49"/>
      <c r="Q1502" s="49"/>
    </row>
    <row r="1503" spans="1:21" ht="15" customHeight="1" x14ac:dyDescent="0.3">
      <c r="B1503" s="43" t="s">
        <v>863</v>
      </c>
      <c r="C1503" s="44" t="s">
        <v>45</v>
      </c>
      <c r="D1503" s="45" t="s">
        <v>513</v>
      </c>
      <c r="E1503" s="46" t="s">
        <v>47</v>
      </c>
      <c r="F1503" s="47">
        <v>0.95</v>
      </c>
      <c r="G1503" s="46" t="s">
        <v>48</v>
      </c>
      <c r="H1503" s="47">
        <v>0.98</v>
      </c>
      <c r="I1503" s="48">
        <v>11</v>
      </c>
      <c r="J1503" s="49">
        <f>ROUND((2900*$T$1),0)*1.05</f>
        <v>3045</v>
      </c>
      <c r="K1503" s="49">
        <f>ROUND((3100*$T$1),0)*1.05</f>
        <v>3255</v>
      </c>
      <c r="L1503" s="49">
        <f>ROUND((3240*$T$1),0)*1.05</f>
        <v>3402</v>
      </c>
      <c r="M1503" s="49">
        <f>ROUND((3400*$T$1),0)*1.05</f>
        <v>3570</v>
      </c>
      <c r="N1503" s="49">
        <f>ROUND((3540*$T$1),0)*1.05</f>
        <v>3717</v>
      </c>
      <c r="O1503" s="49">
        <f>ROUND((3680*$T$1),0)*1.05</f>
        <v>3864</v>
      </c>
      <c r="P1503" s="49">
        <f>ROUND((3820*$T$1),0)*1.05</f>
        <v>4011</v>
      </c>
      <c r="Q1503" s="49">
        <f>ROUND((3960*$T$1),0)*1.05</f>
        <v>4158</v>
      </c>
    </row>
    <row r="1504" spans="1:21" ht="15" customHeight="1" x14ac:dyDescent="0.3">
      <c r="B1504" s="43"/>
      <c r="C1504" s="44"/>
      <c r="D1504" s="45"/>
      <c r="E1504" s="46"/>
      <c r="F1504" s="47"/>
      <c r="G1504" s="46"/>
      <c r="H1504" s="47"/>
      <c r="I1504" s="48"/>
      <c r="J1504" s="49"/>
      <c r="K1504" s="49"/>
      <c r="L1504" s="49"/>
      <c r="M1504" s="49"/>
      <c r="N1504" s="49"/>
      <c r="O1504" s="49"/>
      <c r="P1504" s="49"/>
      <c r="Q1504" s="49"/>
    </row>
    <row r="1505" spans="1:17" ht="18.75" x14ac:dyDescent="0.3">
      <c r="B1505" s="43" t="s">
        <v>864</v>
      </c>
      <c r="C1505" s="44" t="s">
        <v>45</v>
      </c>
      <c r="D1505" s="45" t="s">
        <v>83</v>
      </c>
      <c r="E1505" s="46" t="s">
        <v>47</v>
      </c>
      <c r="F1505" s="47">
        <v>0.95</v>
      </c>
      <c r="G1505" s="46" t="s">
        <v>48</v>
      </c>
      <c r="H1505" s="47">
        <v>0.98</v>
      </c>
      <c r="I1505" s="48">
        <v>9</v>
      </c>
      <c r="J1505" s="49">
        <f>ROUND((2250*$T$1),0)*1.05</f>
        <v>2362.5</v>
      </c>
      <c r="K1505" s="49">
        <f>ROUND((2350*$T$1),0)*1.05</f>
        <v>2467.5</v>
      </c>
      <c r="L1505" s="49">
        <f>ROUND((2450*$T$1),0)*1.05</f>
        <v>2572.5</v>
      </c>
      <c r="M1505" s="49">
        <f>ROUND((2520*$T$1),0)*1.05</f>
        <v>2646</v>
      </c>
      <c r="N1505" s="49">
        <f>ROUND((2640*$T$1),0)*1.05</f>
        <v>2772</v>
      </c>
      <c r="O1505" s="49">
        <f>ROUND((2760*$T$1),0)*1.05</f>
        <v>2898</v>
      </c>
      <c r="P1505" s="49">
        <f>ROUND((2900*$T$1),0)*1.05</f>
        <v>3045</v>
      </c>
      <c r="Q1505" s="49">
        <f>ROUND((3112*$T$1),0)*1.05</f>
        <v>3267.6000000000004</v>
      </c>
    </row>
    <row r="1507" spans="1:17" ht="18.75" x14ac:dyDescent="0.3">
      <c r="B1507" s="50" t="s">
        <v>98</v>
      </c>
      <c r="C1507" s="44" t="s">
        <v>45</v>
      </c>
      <c r="D1507" s="45" t="s">
        <v>505</v>
      </c>
      <c r="E1507" s="46" t="s">
        <v>47</v>
      </c>
      <c r="F1507" s="47">
        <v>0.95</v>
      </c>
      <c r="G1507" s="46" t="s">
        <v>48</v>
      </c>
      <c r="H1507" s="47">
        <v>0.45</v>
      </c>
      <c r="I1507" s="48">
        <v>5</v>
      </c>
      <c r="J1507" s="49">
        <f>ROUND((1540*$T$1),0)*1.05</f>
        <v>1617</v>
      </c>
      <c r="K1507" s="49">
        <f>ROUND((1790*$T$1),0)*1.05</f>
        <v>1879.5</v>
      </c>
      <c r="L1507" s="49">
        <f>ROUND((1900*$T$1),0)*1.05</f>
        <v>1995</v>
      </c>
      <c r="M1507" s="49">
        <f>ROUND((1990*$T$1),0)*1.05</f>
        <v>2089.5</v>
      </c>
      <c r="N1507" s="49">
        <f>ROUND((2110*$T$1),0)*1.05</f>
        <v>2215.5</v>
      </c>
      <c r="O1507" s="49">
        <f>ROUND((2230*$T$1),0)*1.05</f>
        <v>2341.5</v>
      </c>
      <c r="P1507" s="49">
        <f>ROUND((2400*$T$1),0)*1.05</f>
        <v>2520</v>
      </c>
      <c r="Q1507" s="49">
        <f>ROUND((2500*$T$1),0)*1.05</f>
        <v>2625</v>
      </c>
    </row>
    <row r="1508" spans="1:17" ht="18.75" x14ac:dyDescent="0.3">
      <c r="B1508" s="50"/>
      <c r="C1508" s="44"/>
      <c r="D1508" s="45"/>
      <c r="E1508" s="46"/>
      <c r="F1508" s="47"/>
      <c r="G1508" s="46"/>
      <c r="H1508" s="47"/>
      <c r="J1508" s="49"/>
      <c r="K1508" s="49"/>
      <c r="L1508" s="49"/>
      <c r="M1508" s="49"/>
      <c r="N1508" s="49"/>
      <c r="O1508" s="49"/>
      <c r="P1508" s="49"/>
      <c r="Q1508" s="49"/>
    </row>
    <row r="1510" spans="1:17" ht="15" customHeight="1" x14ac:dyDescent="0.3">
      <c r="B1510" s="59" t="s">
        <v>511</v>
      </c>
      <c r="C1510" s="161"/>
      <c r="D1510" s="59"/>
      <c r="E1510" s="59"/>
      <c r="F1510" s="59"/>
      <c r="G1510" s="59"/>
      <c r="H1510" s="59"/>
      <c r="I1510" s="61"/>
      <c r="J1510" s="62"/>
      <c r="K1510" s="62"/>
      <c r="L1510" s="62"/>
      <c r="M1510" s="62"/>
      <c r="N1510" s="62"/>
      <c r="O1510" s="62"/>
      <c r="P1510" s="62"/>
      <c r="Q1510" s="62"/>
    </row>
    <row r="1513" spans="1:17" ht="29.1" customHeight="1" x14ac:dyDescent="0.25">
      <c r="A1513" s="189" t="s">
        <v>865</v>
      </c>
      <c r="B1513" s="189"/>
      <c r="C1513" s="187" t="s">
        <v>41</v>
      </c>
      <c r="D1513" s="187"/>
      <c r="E1513" s="187"/>
      <c r="F1513" s="187"/>
      <c r="G1513" s="187"/>
      <c r="H1513" s="187"/>
      <c r="I1513" s="78" t="s">
        <v>42</v>
      </c>
      <c r="J1513" s="41" t="s">
        <v>43</v>
      </c>
      <c r="K1513" s="41">
        <v>1000</v>
      </c>
      <c r="L1513" s="41">
        <v>2000</v>
      </c>
      <c r="M1513" s="41">
        <v>3000</v>
      </c>
      <c r="N1513" s="41">
        <v>4000</v>
      </c>
      <c r="O1513" s="41">
        <v>5000</v>
      </c>
      <c r="P1513" s="41">
        <v>6000</v>
      </c>
      <c r="Q1513" s="41">
        <v>7000</v>
      </c>
    </row>
    <row r="1514" spans="1:17" ht="18.75" x14ac:dyDescent="0.3">
      <c r="A1514" s="42"/>
      <c r="B1514" s="50" t="s">
        <v>866</v>
      </c>
      <c r="C1514" s="51" t="s">
        <v>45</v>
      </c>
      <c r="D1514" s="54">
        <v>1.35</v>
      </c>
      <c r="E1514" s="53" t="s">
        <v>47</v>
      </c>
      <c r="F1514" s="54">
        <v>1.5</v>
      </c>
      <c r="G1514" s="53" t="s">
        <v>48</v>
      </c>
      <c r="H1514" s="90">
        <v>0.78</v>
      </c>
      <c r="I1514" s="55">
        <v>12</v>
      </c>
      <c r="J1514" s="56">
        <f>ROUND((3884*$T$1),0)*1.05</f>
        <v>4078.2000000000003</v>
      </c>
      <c r="K1514" s="56">
        <f>ROUND((4315*$T$1),0)*1.05</f>
        <v>4530.75</v>
      </c>
      <c r="L1514" s="56">
        <f>ROUND((4386*$T$1),0)*1.05</f>
        <v>4605.3</v>
      </c>
      <c r="M1514" s="56">
        <f>ROUND((4466*$T$1),0)*1.05</f>
        <v>4689.3</v>
      </c>
      <c r="N1514" s="56">
        <f>ROUND((4547*$T$1),0)*1.05</f>
        <v>4774.3500000000004</v>
      </c>
      <c r="O1514" s="56">
        <f>ROUND((4597*$T$1),0)*1.05</f>
        <v>4826.8500000000004</v>
      </c>
      <c r="P1514" s="56">
        <f>ROUND((4742*$T$1),0)*1.05</f>
        <v>4979.1000000000004</v>
      </c>
      <c r="Q1514" s="56">
        <f>ROUND((4985*$T$1),0)*1.05</f>
        <v>5234.25</v>
      </c>
    </row>
    <row r="1515" spans="1:17" ht="18.75" x14ac:dyDescent="0.3">
      <c r="A1515" s="42"/>
      <c r="B1515" s="50" t="s">
        <v>867</v>
      </c>
      <c r="C1515" s="51" t="s">
        <v>45</v>
      </c>
      <c r="D1515" s="54">
        <v>1.25</v>
      </c>
      <c r="E1515" s="53" t="s">
        <v>47</v>
      </c>
      <c r="F1515" s="54">
        <v>1.5</v>
      </c>
      <c r="G1515" s="53" t="s">
        <v>48</v>
      </c>
      <c r="H1515" s="90">
        <v>0.78</v>
      </c>
      <c r="I1515" s="55">
        <v>11</v>
      </c>
      <c r="J1515" s="56">
        <f>ROUND((3786*$T$1),0)*1.05</f>
        <v>3975.3</v>
      </c>
      <c r="K1515" s="56">
        <f>ROUND((4208*$T$1),0)*1.05</f>
        <v>4418.4000000000005</v>
      </c>
      <c r="L1515" s="56">
        <f>ROUND((4276*$T$1),0)*1.05</f>
        <v>4489.8</v>
      </c>
      <c r="M1515" s="56">
        <f>ROUND((4355*$T$1),0)*1.05</f>
        <v>4572.75</v>
      </c>
      <c r="N1515" s="56">
        <f>ROUND((4434*$T$1),0)*1.05</f>
        <v>4655.7</v>
      </c>
      <c r="O1515" s="56">
        <f>ROUND((4483*$T$1),0)*1.05</f>
        <v>4707.1500000000005</v>
      </c>
      <c r="P1515" s="56">
        <f>ROUND((4623*$T$1),0)*1.05</f>
        <v>4854.1500000000005</v>
      </c>
      <c r="Q1515" s="56">
        <f>ROUND((4861*$T$1),0)*1.05</f>
        <v>5104.05</v>
      </c>
    </row>
    <row r="1516" spans="1:17" ht="15" customHeight="1" x14ac:dyDescent="0.3">
      <c r="A1516" s="42"/>
      <c r="B1516" s="50" t="s">
        <v>868</v>
      </c>
      <c r="C1516" s="51" t="s">
        <v>45</v>
      </c>
      <c r="D1516" s="54">
        <v>1.1499999999999999</v>
      </c>
      <c r="E1516" s="53" t="s">
        <v>47</v>
      </c>
      <c r="F1516" s="54">
        <v>1.5</v>
      </c>
      <c r="G1516" s="53" t="s">
        <v>48</v>
      </c>
      <c r="H1516" s="90">
        <v>0.78</v>
      </c>
      <c r="I1516" s="55">
        <v>10</v>
      </c>
      <c r="J1516" s="56">
        <f>ROUND((3692*$T$1),0)*1.05</f>
        <v>3876.6000000000004</v>
      </c>
      <c r="K1516" s="56">
        <f>ROUND((4102*$T$1),0)*1.05</f>
        <v>4307.1000000000004</v>
      </c>
      <c r="L1516" s="56">
        <f>ROUND((4169*$T$1),0)*1.05</f>
        <v>4377.45</v>
      </c>
      <c r="M1516" s="56">
        <f>ROUND((4246*$T$1),0)*1.05</f>
        <v>4458.3</v>
      </c>
      <c r="N1516" s="56">
        <f>ROUND((4323*$T$1),0)*1.05</f>
        <v>4539.1500000000005</v>
      </c>
      <c r="O1516" s="56">
        <f>ROUND((4370*$T$1),0)*1.05</f>
        <v>4588.5</v>
      </c>
      <c r="P1516" s="56">
        <f>ROUND((4508*$T$1),0)*1.05</f>
        <v>4733.4000000000005</v>
      </c>
      <c r="Q1516" s="56">
        <f>ROUND((4739*$T$1),0)*1.05</f>
        <v>4975.95</v>
      </c>
    </row>
    <row r="1517" spans="1:17" ht="18.75" x14ac:dyDescent="0.3">
      <c r="A1517" s="42"/>
      <c r="B1517" s="50" t="s">
        <v>869</v>
      </c>
      <c r="C1517" s="51" t="s">
        <v>45</v>
      </c>
      <c r="D1517" s="54">
        <v>1.2</v>
      </c>
      <c r="E1517" s="53" t="s">
        <v>47</v>
      </c>
      <c r="F1517" s="54">
        <v>1.5</v>
      </c>
      <c r="G1517" s="53" t="s">
        <v>48</v>
      </c>
      <c r="H1517" s="90">
        <v>0.78</v>
      </c>
      <c r="I1517" s="55">
        <v>9</v>
      </c>
      <c r="J1517" s="56">
        <f>ROUND((3614*$T$1),0)*1.05</f>
        <v>3794.7000000000003</v>
      </c>
      <c r="K1517" s="56">
        <f>ROUND((4015*$T$1),0)*1.05</f>
        <v>4215.75</v>
      </c>
      <c r="L1517" s="56">
        <f>ROUND((4704*$T$1),0)*1.05</f>
        <v>4939.2</v>
      </c>
      <c r="M1517" s="56">
        <f>ROUND((4142*$T$1),0)*1.05</f>
        <v>4349.1000000000004</v>
      </c>
      <c r="N1517" s="56">
        <f>ROUND((4210*$T$1),0)*1.05</f>
        <v>4420.5</v>
      </c>
      <c r="O1517" s="56">
        <f>ROUND((4252*$T$1),0)*1.05</f>
        <v>4464.6000000000004</v>
      </c>
      <c r="P1517" s="56">
        <f>ROUND((4374*$T$1),0)*1.05</f>
        <v>4592.7</v>
      </c>
      <c r="Q1517" s="56">
        <f>ROUND((4578*$T$1),0)*1.05</f>
        <v>4806.9000000000005</v>
      </c>
    </row>
    <row r="1518" spans="1:17" ht="18.75" x14ac:dyDescent="0.3">
      <c r="A1518" s="42"/>
      <c r="B1518" s="50" t="s">
        <v>870</v>
      </c>
      <c r="C1518" s="51" t="s">
        <v>45</v>
      </c>
      <c r="D1518" s="54">
        <v>1.1000000000000001</v>
      </c>
      <c r="E1518" s="53" t="s">
        <v>47</v>
      </c>
      <c r="F1518" s="54">
        <v>1.5</v>
      </c>
      <c r="G1518" s="53" t="s">
        <v>48</v>
      </c>
      <c r="H1518" s="90">
        <v>0.78</v>
      </c>
      <c r="I1518" s="55">
        <v>9</v>
      </c>
      <c r="J1518" s="56">
        <f>ROUND((3541*$T$1),0)*1.05</f>
        <v>3718.05</v>
      </c>
      <c r="K1518" s="56">
        <f>ROUND((3935*$T$1),0)*1.05</f>
        <v>4131.75</v>
      </c>
      <c r="L1518" s="56">
        <f>ROUND((3993*$T$1),0)*1.05</f>
        <v>4192.6500000000005</v>
      </c>
      <c r="M1518" s="56">
        <f>ROUND((4059*$T$1),0)*1.05</f>
        <v>4261.95</v>
      </c>
      <c r="N1518" s="56">
        <f>ROUND((4125*$T$1),0)*1.05</f>
        <v>4331.25</v>
      </c>
      <c r="O1518" s="56">
        <f>ROUND((4167*$T$1),0)*1.05</f>
        <v>4375.3500000000004</v>
      </c>
      <c r="P1518" s="56">
        <f>ROUND((4286*$T$1),0)*1.05</f>
        <v>4500.3</v>
      </c>
      <c r="Q1518" s="56">
        <f>ROUND((4487*$T$1),0)*1.05</f>
        <v>4711.3500000000004</v>
      </c>
    </row>
    <row r="1519" spans="1:17" ht="18.75" x14ac:dyDescent="0.3">
      <c r="A1519" s="42"/>
      <c r="B1519" s="50" t="s">
        <v>871</v>
      </c>
      <c r="C1519" s="51" t="s">
        <v>45</v>
      </c>
      <c r="D1519" s="54">
        <v>1</v>
      </c>
      <c r="E1519" s="53" t="s">
        <v>47</v>
      </c>
      <c r="F1519" s="54">
        <v>1.5</v>
      </c>
      <c r="G1519" s="53" t="s">
        <v>48</v>
      </c>
      <c r="H1519" s="90">
        <v>0.78</v>
      </c>
      <c r="I1519" s="55">
        <v>8</v>
      </c>
      <c r="J1519" s="56">
        <f>ROUND((3471*$T$1),0)*1.05</f>
        <v>3644.55</v>
      </c>
      <c r="K1519" s="56">
        <f>ROUND((3856*$T$1),0)*1.05</f>
        <v>4048.8</v>
      </c>
      <c r="L1519" s="56">
        <f>ROUND((3913*$T$1),0)*1.05</f>
        <v>4108.6500000000005</v>
      </c>
      <c r="M1519" s="56">
        <f>ROUND((3978*$T$1),0)*1.05</f>
        <v>4176.9000000000005</v>
      </c>
      <c r="N1519" s="56">
        <f>ROUND((4043*$T$1),0)*1.05</f>
        <v>4245.1500000000005</v>
      </c>
      <c r="O1519" s="56">
        <f>ROUND((4083*$T$1),0)*1.05</f>
        <v>4287.1500000000005</v>
      </c>
      <c r="P1519" s="56">
        <f>ROUND((4201*$T$1),0)*1.05</f>
        <v>4411.05</v>
      </c>
      <c r="Q1519" s="56">
        <f>ROUND((4397*$T$1),0)*1.05</f>
        <v>4616.8500000000004</v>
      </c>
    </row>
    <row r="1520" spans="1:17" ht="15" customHeight="1" x14ac:dyDescent="0.3">
      <c r="A1520" s="42"/>
      <c r="B1520" s="51"/>
      <c r="C1520" s="51"/>
      <c r="D1520" s="54"/>
      <c r="E1520" s="53"/>
      <c r="F1520" s="54"/>
      <c r="G1520" s="53"/>
      <c r="H1520" s="90"/>
      <c r="I1520" s="55"/>
      <c r="J1520" s="56"/>
      <c r="K1520" s="56"/>
      <c r="L1520" s="56"/>
      <c r="M1520" s="56"/>
      <c r="N1520" s="56"/>
      <c r="O1520" s="56"/>
      <c r="P1520" s="56"/>
      <c r="Q1520" s="56"/>
    </row>
    <row r="1521" spans="1:21" ht="15" customHeight="1" x14ac:dyDescent="0.3">
      <c r="A1521" s="42"/>
      <c r="B1521" s="44"/>
      <c r="C1521" s="44"/>
      <c r="D1521" s="47"/>
      <c r="E1521" s="46"/>
      <c r="F1521" s="47"/>
      <c r="G1521" s="46"/>
      <c r="H1521" s="57"/>
      <c r="I1521" s="48"/>
      <c r="J1521" s="49"/>
      <c r="K1521" s="49"/>
      <c r="L1521" s="49"/>
      <c r="M1521" s="87" t="s">
        <v>134</v>
      </c>
      <c r="N1521" s="49"/>
      <c r="O1521" s="49"/>
      <c r="P1521" s="49"/>
      <c r="Q1521" s="49"/>
    </row>
    <row r="1522" spans="1:21" ht="15" customHeight="1" x14ac:dyDescent="0.3">
      <c r="A1522" s="42"/>
      <c r="B1522" s="59" t="s">
        <v>872</v>
      </c>
      <c r="C1522" s="60"/>
      <c r="D1522" s="59"/>
      <c r="E1522" s="59"/>
      <c r="F1522" s="59"/>
      <c r="G1522" s="59"/>
      <c r="H1522" s="59"/>
      <c r="I1522" s="61"/>
      <c r="J1522" s="62"/>
      <c r="K1522" s="62"/>
      <c r="L1522" s="62"/>
      <c r="M1522" s="62"/>
      <c r="N1522" s="62"/>
      <c r="O1522" s="62"/>
      <c r="P1522" s="62"/>
      <c r="Q1522" s="62"/>
    </row>
    <row r="1524" spans="1:21" ht="29.1" customHeight="1" x14ac:dyDescent="0.25">
      <c r="A1524" s="127" t="s">
        <v>873</v>
      </c>
      <c r="B1524" s="77"/>
      <c r="C1524" s="187" t="s">
        <v>41</v>
      </c>
      <c r="D1524" s="187"/>
      <c r="E1524" s="187"/>
      <c r="F1524" s="187"/>
      <c r="G1524" s="187"/>
      <c r="H1524" s="187"/>
      <c r="I1524" s="78" t="s">
        <v>42</v>
      </c>
      <c r="J1524" s="41" t="s">
        <v>43</v>
      </c>
      <c r="K1524" s="41">
        <v>1000</v>
      </c>
      <c r="L1524" s="41">
        <v>2000</v>
      </c>
      <c r="M1524" s="41">
        <v>3000</v>
      </c>
      <c r="N1524" s="41">
        <v>4000</v>
      </c>
      <c r="O1524" s="41">
        <v>5000</v>
      </c>
      <c r="P1524" s="41">
        <v>6000</v>
      </c>
      <c r="Q1524" s="41">
        <v>7000</v>
      </c>
    </row>
    <row r="1525" spans="1:21" ht="15" customHeight="1" x14ac:dyDescent="0.3">
      <c r="A1525" s="42"/>
      <c r="B1525" s="43" t="s">
        <v>874</v>
      </c>
      <c r="C1525" s="44" t="s">
        <v>45</v>
      </c>
      <c r="D1525" s="47">
        <v>1.7</v>
      </c>
      <c r="E1525" s="46" t="s">
        <v>47</v>
      </c>
      <c r="F1525" s="47">
        <v>0.96</v>
      </c>
      <c r="G1525" s="46" t="s">
        <v>48</v>
      </c>
      <c r="H1525" s="47">
        <v>0.98</v>
      </c>
      <c r="I1525" s="48">
        <v>8</v>
      </c>
      <c r="J1525" s="49">
        <f>ROUND((3541*$T$1),0)*1.05</f>
        <v>3718.05</v>
      </c>
      <c r="K1525" s="49">
        <f>ROUND((3767*$T$1),0)*1.05</f>
        <v>3955.3500000000004</v>
      </c>
      <c r="L1525" s="49">
        <f>ROUND((4031*$T$1),0)*1.05</f>
        <v>4232.55</v>
      </c>
      <c r="M1525" s="49">
        <f>ROUND((4313*$T$1),0)*1.05</f>
        <v>4528.6500000000005</v>
      </c>
      <c r="N1525" s="49">
        <f>ROUND((4615*$T$1),0)*1.05</f>
        <v>4845.75</v>
      </c>
      <c r="O1525" s="49">
        <f>ROUND((4892*$T$1),0)*1.05</f>
        <v>5136.6000000000004</v>
      </c>
      <c r="P1525" s="49">
        <f>ROUND((5174*$T$1),0)*1.05</f>
        <v>5432.7</v>
      </c>
      <c r="Q1525" s="49">
        <f>ROUND((5456*$T$1),0)*1.05</f>
        <v>5728.8</v>
      </c>
      <c r="R1525" s="33"/>
      <c r="S1525" s="33"/>
      <c r="T1525" s="33"/>
      <c r="U1525" s="33"/>
    </row>
    <row r="1526" spans="1:21" ht="15" customHeight="1" x14ac:dyDescent="0.3">
      <c r="A1526" s="42"/>
      <c r="B1526" s="43" t="s">
        <v>875</v>
      </c>
      <c r="C1526" s="44" t="s">
        <v>45</v>
      </c>
      <c r="D1526" s="47">
        <v>1.9</v>
      </c>
      <c r="E1526" s="46" t="s">
        <v>47</v>
      </c>
      <c r="F1526" s="47">
        <v>0.96</v>
      </c>
      <c r="G1526" s="46" t="s">
        <v>48</v>
      </c>
      <c r="H1526" s="47">
        <v>0.98</v>
      </c>
      <c r="I1526" s="48">
        <v>8.5</v>
      </c>
      <c r="J1526" s="49">
        <f>ROUND((3727*$T$1),0)*1.05</f>
        <v>3913.3500000000004</v>
      </c>
      <c r="K1526" s="49">
        <f>ROUND((3965*$T$1),0)*1.05</f>
        <v>4163.25</v>
      </c>
      <c r="L1526" s="49">
        <f>ROUND((4243*$T$1),0)*1.05</f>
        <v>4455.1500000000005</v>
      </c>
      <c r="M1526" s="49">
        <f>ROUND((4540*$T$1),0)*1.05</f>
        <v>4767</v>
      </c>
      <c r="N1526" s="49">
        <f>ROUND((4858*$T$1),0)*1.05</f>
        <v>5100.9000000000005</v>
      </c>
      <c r="O1526" s="49">
        <f>ROUND((5149*$T$1),0)*1.05</f>
        <v>5406.45</v>
      </c>
      <c r="P1526" s="49">
        <f>ROUND((5446*$T$1),0)*1.05</f>
        <v>5718.3</v>
      </c>
      <c r="Q1526" s="49">
        <f>ROUND((5743*$T$1),0)*1.05</f>
        <v>6030.1500000000005</v>
      </c>
      <c r="R1526" s="33"/>
      <c r="S1526" s="33"/>
      <c r="T1526" s="33"/>
      <c r="U1526" s="33"/>
    </row>
    <row r="1527" spans="1:21" ht="15" customHeight="1" x14ac:dyDescent="0.3">
      <c r="A1527" s="42"/>
      <c r="B1527" s="43" t="s">
        <v>876</v>
      </c>
      <c r="C1527" s="44" t="s">
        <v>45</v>
      </c>
      <c r="D1527" s="47">
        <v>2.1</v>
      </c>
      <c r="E1527" s="46" t="s">
        <v>47</v>
      </c>
      <c r="F1527" s="47">
        <v>0.96</v>
      </c>
      <c r="G1527" s="46" t="s">
        <v>48</v>
      </c>
      <c r="H1527" s="47">
        <v>0.98</v>
      </c>
      <c r="I1527" s="48">
        <v>9</v>
      </c>
      <c r="J1527" s="49">
        <f>ROUND((3924*$T$1),0)*1.05</f>
        <v>4120.2</v>
      </c>
      <c r="K1527" s="49">
        <f>ROUND((4174*$T$1),0)*1.05</f>
        <v>4382.7</v>
      </c>
      <c r="L1527" s="49">
        <f>ROUND((4466*$T$1),0)*1.05</f>
        <v>4689.3</v>
      </c>
      <c r="M1527" s="49">
        <f>ROUND((4779*$T$1),0)*1.05</f>
        <v>5017.95</v>
      </c>
      <c r="N1527" s="49">
        <f>ROUND((5114*$T$1),0)*1.05</f>
        <v>5369.7</v>
      </c>
      <c r="O1527" s="49">
        <f>ROUND((5421*$T$1),0)*1.05</f>
        <v>5692.05</v>
      </c>
      <c r="P1527" s="49">
        <f>ROUND((5734*$T$1),0)*1.05</f>
        <v>6020.7</v>
      </c>
      <c r="Q1527" s="49">
        <f>ROUND((6047*$T$1),0)*1.05</f>
        <v>6349.35</v>
      </c>
      <c r="R1527" s="33"/>
      <c r="S1527" s="33"/>
      <c r="T1527" s="33"/>
      <c r="U1527" s="33"/>
    </row>
    <row r="1528" spans="1:21" ht="15" customHeight="1" x14ac:dyDescent="0.3">
      <c r="A1528" s="42"/>
      <c r="B1528" s="43" t="s">
        <v>877</v>
      </c>
      <c r="C1528" s="44" t="s">
        <v>45</v>
      </c>
      <c r="D1528" s="47">
        <v>2.2999999999999998</v>
      </c>
      <c r="E1528" s="46" t="s">
        <v>47</v>
      </c>
      <c r="F1528" s="47">
        <v>0.96</v>
      </c>
      <c r="G1528" s="46" t="s">
        <v>48</v>
      </c>
      <c r="H1528" s="47">
        <v>0.98</v>
      </c>
      <c r="I1528" s="48">
        <v>9.5</v>
      </c>
      <c r="J1528" s="49">
        <f>ROUND((4041*$T$1),0)*1.05</f>
        <v>4243.05</v>
      </c>
      <c r="K1528" s="49">
        <f>ROUND((4299*$T$1),0)*1.05</f>
        <v>4513.95</v>
      </c>
      <c r="L1528" s="49">
        <f>ROUND((4600*$T$1),0)*1.05</f>
        <v>4830</v>
      </c>
      <c r="M1528" s="49">
        <f>ROUND((4922*$T$1),0)*1.05</f>
        <v>5168.1000000000004</v>
      </c>
      <c r="N1528" s="49">
        <f>ROUND((5267*$T$1),0)*1.05</f>
        <v>5530.35</v>
      </c>
      <c r="O1528" s="49">
        <f>ROUND((5583*$T$1),0)*1.05</f>
        <v>5862.1500000000005</v>
      </c>
      <c r="P1528" s="49">
        <f>ROUND((5905*$T$1),0)*1.05</f>
        <v>6200.25</v>
      </c>
      <c r="Q1528" s="49">
        <f>ROUND((6227*$T$1),0)*1.05</f>
        <v>6538.35</v>
      </c>
      <c r="R1528" s="33"/>
      <c r="S1528" s="33"/>
      <c r="T1528" s="33"/>
      <c r="U1528" s="33"/>
    </row>
    <row r="1529" spans="1:21" ht="15" customHeight="1" x14ac:dyDescent="0.3">
      <c r="A1529" s="42"/>
      <c r="B1529" s="43" t="s">
        <v>878</v>
      </c>
      <c r="C1529" s="44" t="s">
        <v>45</v>
      </c>
      <c r="D1529" s="47">
        <v>2.5</v>
      </c>
      <c r="E1529" s="46" t="s">
        <v>47</v>
      </c>
      <c r="F1529" s="47">
        <v>0.96</v>
      </c>
      <c r="G1529" s="46" t="s">
        <v>48</v>
      </c>
      <c r="H1529" s="47">
        <v>0.98</v>
      </c>
      <c r="I1529" s="48">
        <v>10</v>
      </c>
      <c r="J1529" s="49">
        <f>ROUND((4162*$T$1),0)*1.05</f>
        <v>4370.1000000000004</v>
      </c>
      <c r="K1529" s="49">
        <f>ROUND((4428*$T$1),0)*1.05</f>
        <v>4649.4000000000005</v>
      </c>
      <c r="L1529" s="49">
        <f>ROUND((4738*$T$1),0)*1.05</f>
        <v>4974.9000000000005</v>
      </c>
      <c r="M1529" s="49">
        <f>ROUND((5070*$T$1),0)*1.05</f>
        <v>5323.5</v>
      </c>
      <c r="N1529" s="49">
        <f>ROUND((5425*$T$1),0)*1.05</f>
        <v>5696.25</v>
      </c>
      <c r="O1529" s="49">
        <f>ROUND((5721*$T$1),0)*1.05</f>
        <v>6007.05</v>
      </c>
      <c r="P1529" s="49">
        <f>ROUND((6106*$T$1),0)*1.05</f>
        <v>6411.3</v>
      </c>
      <c r="Q1529" s="49">
        <f>ROUND((6461*$T$1),0)*1.05</f>
        <v>6784.05</v>
      </c>
      <c r="R1529" s="33"/>
      <c r="S1529" s="33"/>
      <c r="T1529" s="33"/>
      <c r="U1529" s="33"/>
    </row>
    <row r="1530" spans="1:21" ht="15" customHeight="1" x14ac:dyDescent="0.3">
      <c r="A1530" s="42"/>
      <c r="B1530" s="86"/>
      <c r="C1530" s="119"/>
      <c r="D1530" s="86"/>
      <c r="E1530" s="86"/>
      <c r="F1530" s="86"/>
      <c r="G1530" s="86"/>
      <c r="H1530" s="86"/>
      <c r="I1530" s="55"/>
      <c r="J1530" s="56"/>
      <c r="K1530" s="56"/>
      <c r="L1530" s="56"/>
      <c r="M1530" s="56"/>
      <c r="N1530" s="56"/>
      <c r="O1530" s="56"/>
      <c r="P1530" s="56"/>
      <c r="Q1530" s="56"/>
    </row>
    <row r="1531" spans="1:21" ht="15" customHeight="1" x14ac:dyDescent="0.3">
      <c r="A1531" s="42"/>
      <c r="B1531" s="86"/>
      <c r="C1531" s="119"/>
      <c r="D1531" s="86"/>
      <c r="E1531" s="86"/>
      <c r="F1531" s="86"/>
      <c r="G1531" s="86"/>
      <c r="H1531" s="86"/>
      <c r="I1531" s="55"/>
      <c r="J1531" s="56"/>
      <c r="K1531" s="56"/>
      <c r="L1531" s="56"/>
      <c r="M1531" s="87" t="s">
        <v>134</v>
      </c>
      <c r="N1531" s="56"/>
      <c r="O1531" s="56"/>
      <c r="P1531" s="56"/>
      <c r="Q1531" s="56"/>
    </row>
    <row r="1532" spans="1:21" ht="15" customHeight="1" x14ac:dyDescent="0.3">
      <c r="A1532" s="42"/>
      <c r="B1532" s="59" t="s">
        <v>511</v>
      </c>
      <c r="C1532" s="60"/>
      <c r="D1532" s="59"/>
      <c r="E1532" s="59"/>
      <c r="F1532" s="59"/>
      <c r="G1532" s="59"/>
      <c r="H1532" s="59"/>
      <c r="I1532" s="61"/>
      <c r="J1532" s="62"/>
      <c r="K1532" s="62"/>
      <c r="L1532" s="62"/>
      <c r="M1532" s="62"/>
      <c r="N1532" s="62"/>
      <c r="O1532" s="62"/>
      <c r="P1532" s="62"/>
      <c r="Q1532" s="62"/>
    </row>
    <row r="1534" spans="1:21" ht="29.1" customHeight="1" x14ac:dyDescent="0.25">
      <c r="A1534" s="127" t="s">
        <v>879</v>
      </c>
      <c r="B1534" s="77"/>
      <c r="C1534" s="187" t="s">
        <v>41</v>
      </c>
      <c r="D1534" s="187"/>
      <c r="E1534" s="187"/>
      <c r="F1534" s="187"/>
      <c r="G1534" s="187"/>
      <c r="H1534" s="187"/>
      <c r="I1534" s="78" t="s">
        <v>42</v>
      </c>
      <c r="J1534" s="41" t="s">
        <v>43</v>
      </c>
      <c r="K1534" s="41">
        <v>1000</v>
      </c>
      <c r="L1534" s="41">
        <v>2000</v>
      </c>
      <c r="M1534" s="41">
        <v>3000</v>
      </c>
      <c r="N1534" s="41">
        <v>4000</v>
      </c>
      <c r="O1534" s="41">
        <v>5000</v>
      </c>
      <c r="P1534" s="41">
        <v>6000</v>
      </c>
      <c r="Q1534" s="41">
        <v>7000</v>
      </c>
    </row>
    <row r="1535" spans="1:21" ht="15" customHeight="1" x14ac:dyDescent="0.3">
      <c r="A1535" s="42"/>
      <c r="B1535" s="43" t="s">
        <v>880</v>
      </c>
      <c r="C1535" s="44" t="s">
        <v>45</v>
      </c>
      <c r="D1535" s="47">
        <v>0.9</v>
      </c>
      <c r="E1535" s="46" t="s">
        <v>47</v>
      </c>
      <c r="F1535" s="47">
        <v>1</v>
      </c>
      <c r="G1535" s="46" t="s">
        <v>48</v>
      </c>
      <c r="H1535" s="47">
        <v>0.98</v>
      </c>
      <c r="I1535" s="48">
        <v>8</v>
      </c>
      <c r="J1535" s="49">
        <f>ROUND((2920*$T$1),0)*1.05</f>
        <v>3066</v>
      </c>
      <c r="K1535" s="49">
        <f>ROUND((3107*$T$1),0)*1.05</f>
        <v>3262.3500000000004</v>
      </c>
      <c r="L1535" s="49">
        <f>ROUND((3262*$T$1),0)*1.05</f>
        <v>3425.1000000000004</v>
      </c>
      <c r="M1535" s="49">
        <f>ROUND((3417*$T$1),0)*1.05</f>
        <v>3587.8500000000004</v>
      </c>
      <c r="N1535" s="49">
        <f>ROUND((3572*$T$1),0)*1.05</f>
        <v>3750.6000000000004</v>
      </c>
      <c r="O1535" s="49">
        <f>ROUND((3727*$T$1),0)*1.05</f>
        <v>3913.3500000000004</v>
      </c>
      <c r="P1535" s="49">
        <f>ROUND((3882*$T$1),0)*1.05</f>
        <v>4076.1000000000004</v>
      </c>
      <c r="Q1535" s="49">
        <f>ROUND((4037*$T$1),0)*1.05</f>
        <v>4238.8500000000004</v>
      </c>
      <c r="R1535" s="33"/>
      <c r="S1535" s="33"/>
      <c r="T1535" s="33"/>
      <c r="U1535" s="33"/>
    </row>
    <row r="1536" spans="1:21" ht="15" customHeight="1" x14ac:dyDescent="0.3">
      <c r="A1536" s="42"/>
      <c r="B1536" s="43" t="s">
        <v>881</v>
      </c>
      <c r="C1536" s="44" t="s">
        <v>45</v>
      </c>
      <c r="D1536" s="47">
        <v>1</v>
      </c>
      <c r="E1536" s="46" t="s">
        <v>47</v>
      </c>
      <c r="F1536" s="47">
        <v>1</v>
      </c>
      <c r="G1536" s="46" t="s">
        <v>48</v>
      </c>
      <c r="H1536" s="47">
        <v>0.98</v>
      </c>
      <c r="I1536" s="48">
        <v>8.5</v>
      </c>
      <c r="J1536" s="49">
        <f>ROUND((3074*$T$1),0)*1.05</f>
        <v>3227.7000000000003</v>
      </c>
      <c r="K1536" s="49">
        <f>ROUND((3271*$T$1),0)*1.05</f>
        <v>3434.55</v>
      </c>
      <c r="L1536" s="49">
        <f>ROUND((3434*$T$1),0)*1.05</f>
        <v>3605.7000000000003</v>
      </c>
      <c r="M1536" s="49">
        <f>ROUND((3597*$T$1),0)*1.05</f>
        <v>3776.8500000000004</v>
      </c>
      <c r="N1536" s="49">
        <f>ROUND((3759*$T$1),0)*1.05</f>
        <v>3946.9500000000003</v>
      </c>
      <c r="O1536" s="49">
        <f>ROUND((3923*$T$1),0)*1.05</f>
        <v>4119.1500000000005</v>
      </c>
      <c r="P1536" s="49">
        <f>ROUND((4086*$T$1),0)*1.05</f>
        <v>4290.3</v>
      </c>
      <c r="Q1536" s="49">
        <f>ROUND((4249*$T$1),0)*1.05</f>
        <v>4461.45</v>
      </c>
      <c r="R1536" s="33"/>
      <c r="S1536" s="33"/>
      <c r="T1536" s="33"/>
      <c r="U1536" s="33"/>
    </row>
    <row r="1537" spans="1:21" ht="15" customHeight="1" x14ac:dyDescent="0.3">
      <c r="A1537" s="42"/>
      <c r="B1537" s="43" t="s">
        <v>882</v>
      </c>
      <c r="C1537" s="44" t="s">
        <v>45</v>
      </c>
      <c r="D1537" s="47">
        <v>1.1000000000000001</v>
      </c>
      <c r="E1537" s="46" t="s">
        <v>47</v>
      </c>
      <c r="F1537" s="47">
        <v>1</v>
      </c>
      <c r="G1537" s="46" t="s">
        <v>48</v>
      </c>
      <c r="H1537" s="47">
        <v>0.98</v>
      </c>
      <c r="I1537" s="48">
        <v>9</v>
      </c>
      <c r="J1537" s="49">
        <f>ROUND((3236*$T$1),0)*1.05</f>
        <v>3397.8</v>
      </c>
      <c r="K1537" s="49">
        <f>ROUND((3443*$T$1),0)*1.05</f>
        <v>3615.15</v>
      </c>
      <c r="L1537" s="49">
        <f>ROUND((3614*$T$1),0)*1.05</f>
        <v>3794.7000000000003</v>
      </c>
      <c r="M1537" s="49">
        <f>ROUND((3786*$T$1),0)*1.05</f>
        <v>3975.3</v>
      </c>
      <c r="N1537" s="49">
        <f>ROUND((3958*$T$1),0)*1.05</f>
        <v>4155.9000000000005</v>
      </c>
      <c r="O1537" s="49">
        <f>ROUND((4129*$T$1),0)*1.05</f>
        <v>4335.45</v>
      </c>
      <c r="P1537" s="49">
        <f>ROUND((4301*$T$1),0)*1.05</f>
        <v>4516.05</v>
      </c>
      <c r="Q1537" s="49">
        <f>ROUND((4473*$T$1),0)*1.05</f>
        <v>4696.6500000000005</v>
      </c>
      <c r="R1537" s="33"/>
      <c r="S1537" s="33"/>
      <c r="T1537" s="33"/>
      <c r="U1537" s="33"/>
    </row>
    <row r="1538" spans="1:21" ht="15" customHeight="1" x14ac:dyDescent="0.3">
      <c r="A1538" s="42"/>
      <c r="B1538" s="43" t="s">
        <v>883</v>
      </c>
      <c r="C1538" s="44" t="s">
        <v>45</v>
      </c>
      <c r="D1538" s="47">
        <v>1.2</v>
      </c>
      <c r="E1538" s="46" t="s">
        <v>47</v>
      </c>
      <c r="F1538" s="47">
        <v>1</v>
      </c>
      <c r="G1538" s="46" t="s">
        <v>48</v>
      </c>
      <c r="H1538" s="47">
        <v>0.98</v>
      </c>
      <c r="I1538" s="48">
        <v>9.5</v>
      </c>
      <c r="J1538" s="49">
        <f>ROUND((3406*$T$1),0)*1.05</f>
        <v>3576.3</v>
      </c>
      <c r="K1538" s="49">
        <f>ROUND((3623*$T$1),0)*1.05</f>
        <v>3804.15</v>
      </c>
      <c r="L1538" s="49">
        <f>ROUND((3905*$T$1),0)*1.05</f>
        <v>4100.25</v>
      </c>
      <c r="M1538" s="49">
        <f>ROUND((3985*$T$1),0)*1.05</f>
        <v>4184.25</v>
      </c>
      <c r="N1538" s="49">
        <f>ROUND((4166*$T$1),0)*1.05</f>
        <v>4374.3</v>
      </c>
      <c r="O1538" s="49">
        <f>ROUND((4346*$T$1),0)*1.05</f>
        <v>4563.3</v>
      </c>
      <c r="P1538" s="49">
        <f>ROUND((4526*$T$1),0)*1.05</f>
        <v>4752.3</v>
      </c>
      <c r="Q1538" s="49">
        <f>ROUND((4708*$T$1),0)*1.05</f>
        <v>4943.4000000000005</v>
      </c>
      <c r="R1538" s="33"/>
      <c r="S1538" s="33"/>
      <c r="T1538" s="33"/>
      <c r="U1538" s="33"/>
    </row>
    <row r="1539" spans="1:21" ht="15" customHeight="1" x14ac:dyDescent="0.3">
      <c r="A1539" s="42"/>
      <c r="B1539" s="43" t="s">
        <v>884</v>
      </c>
      <c r="C1539" s="44" t="s">
        <v>45</v>
      </c>
      <c r="D1539" s="47">
        <v>1.3</v>
      </c>
      <c r="E1539" s="46" t="s">
        <v>47</v>
      </c>
      <c r="F1539" s="47">
        <v>1</v>
      </c>
      <c r="G1539" s="46" t="s">
        <v>48</v>
      </c>
      <c r="H1539" s="47">
        <v>0.98</v>
      </c>
      <c r="I1539" s="48">
        <v>10</v>
      </c>
      <c r="J1539" s="49">
        <f>ROUND((3586*$T$1),0)*1.05</f>
        <v>3765.3</v>
      </c>
      <c r="K1539" s="49">
        <f>ROUND((3814*$T$1),0)*1.05</f>
        <v>4004.7000000000003</v>
      </c>
      <c r="L1539" s="49">
        <f>ROUND((4006*$T$1),0)*1.05</f>
        <v>4206.3</v>
      </c>
      <c r="M1539" s="49">
        <f>ROUND((4195*$T$1),0)*1.05</f>
        <v>4404.75</v>
      </c>
      <c r="N1539" s="49">
        <f>ROUND((4385*$T$1),0)*1.05</f>
        <v>4604.25</v>
      </c>
      <c r="O1539" s="49">
        <f>ROUND((4575*$T$1),0)*1.05</f>
        <v>4803.75</v>
      </c>
      <c r="P1539" s="49">
        <f>ROUND((4765*$T$1),0)*1.05</f>
        <v>5003.25</v>
      </c>
      <c r="Q1539" s="49">
        <f>ROUND((4955*$T$1),0)*1.05</f>
        <v>5202.75</v>
      </c>
      <c r="R1539" s="33"/>
      <c r="S1539" s="33"/>
      <c r="T1539" s="33"/>
      <c r="U1539" s="33"/>
    </row>
    <row r="1540" spans="1:21" ht="15" customHeight="1" x14ac:dyDescent="0.3">
      <c r="A1540" s="42"/>
      <c r="B1540" s="43"/>
      <c r="C1540" s="44"/>
      <c r="D1540" s="47"/>
      <c r="E1540" s="46"/>
      <c r="F1540" s="47"/>
      <c r="G1540" s="46"/>
      <c r="H1540" s="47"/>
      <c r="I1540" s="48"/>
      <c r="J1540" s="49"/>
      <c r="K1540" s="49"/>
      <c r="L1540" s="49"/>
      <c r="M1540" s="49"/>
      <c r="N1540" s="49"/>
      <c r="O1540" s="49"/>
      <c r="P1540" s="49"/>
      <c r="Q1540" s="49"/>
      <c r="R1540" s="33"/>
      <c r="S1540" s="33"/>
      <c r="T1540" s="33"/>
      <c r="U1540" s="33"/>
    </row>
    <row r="1541" spans="1:21" ht="15" customHeight="1" x14ac:dyDescent="0.3">
      <c r="A1541" s="42"/>
      <c r="B1541" s="43" t="s">
        <v>885</v>
      </c>
      <c r="C1541" s="44" t="s">
        <v>45</v>
      </c>
      <c r="D1541" s="47">
        <v>0.8</v>
      </c>
      <c r="E1541" s="46" t="s">
        <v>47</v>
      </c>
      <c r="F1541" s="47">
        <v>1</v>
      </c>
      <c r="G1541" s="46" t="s">
        <v>48</v>
      </c>
      <c r="H1541" s="47">
        <v>0.98</v>
      </c>
      <c r="I1541" s="48">
        <v>7.5</v>
      </c>
      <c r="J1541" s="49">
        <f>ROUND((2628*$T$1),0)*1.05</f>
        <v>2759.4</v>
      </c>
      <c r="K1541" s="49">
        <f>ROUND((2796*$T$1),0)*1.05</f>
        <v>2935.8</v>
      </c>
      <c r="L1541" s="49">
        <f>ROUND((2936*$T$1),0)*1.05</f>
        <v>3082.8</v>
      </c>
      <c r="M1541" s="49">
        <f>ROUND((3075*$T$1),0)*1.05</f>
        <v>3228.75</v>
      </c>
      <c r="N1541" s="49">
        <f>ROUND((3216*$T$1),0)*1.05</f>
        <v>3376.8</v>
      </c>
      <c r="O1541" s="49">
        <f>ROUND((3554*$T$1),0)*1.05</f>
        <v>3731.7000000000003</v>
      </c>
      <c r="P1541" s="49">
        <f>ROUND((3694*$T$1),0)*1.05</f>
        <v>3878.7000000000003</v>
      </c>
      <c r="Q1541" s="49">
        <f>ROUND((3834*$T$1),0)*1.05</f>
        <v>4025.7000000000003</v>
      </c>
      <c r="R1541" s="33"/>
      <c r="S1541" s="33"/>
      <c r="T1541" s="33"/>
      <c r="U1541" s="33"/>
    </row>
    <row r="1542" spans="1:21" ht="15" customHeight="1" x14ac:dyDescent="0.3">
      <c r="A1542" s="42"/>
      <c r="B1542" s="43" t="s">
        <v>886</v>
      </c>
      <c r="C1542" s="44" t="s">
        <v>45</v>
      </c>
      <c r="D1542" s="47">
        <v>0.9</v>
      </c>
      <c r="E1542" s="46" t="s">
        <v>47</v>
      </c>
      <c r="F1542" s="47">
        <v>1</v>
      </c>
      <c r="G1542" s="46" t="s">
        <v>48</v>
      </c>
      <c r="H1542" s="47">
        <v>0.98</v>
      </c>
      <c r="I1542" s="48">
        <v>8</v>
      </c>
      <c r="J1542" s="49">
        <f>ROUND((2766*$T$1),0)*1.05</f>
        <v>2904.3</v>
      </c>
      <c r="K1542" s="49">
        <f>ROUND((2943*$T$1),0)*1.05</f>
        <v>3090.15</v>
      </c>
      <c r="L1542" s="49">
        <f>ROUND((3091*$T$1),0)*1.05</f>
        <v>3245.55</v>
      </c>
      <c r="M1542" s="49">
        <f>ROUND((3237*$T$1),0)*1.05</f>
        <v>3398.8500000000004</v>
      </c>
      <c r="N1542" s="49">
        <f>ROUND((3883*$T$1),0)*1.05</f>
        <v>4077.15</v>
      </c>
      <c r="O1542" s="49">
        <f>ROUND((3531*$T$1),0)*1.05</f>
        <v>3707.55</v>
      </c>
      <c r="P1542" s="49">
        <f>ROUND((3679*$T$1),0)*1.05</f>
        <v>3862.9500000000003</v>
      </c>
      <c r="Q1542" s="49">
        <f>ROUND((3827*$T$1),0)*1.05</f>
        <v>4018.3500000000004</v>
      </c>
      <c r="R1542" s="33"/>
      <c r="S1542" s="33"/>
      <c r="T1542" s="33"/>
      <c r="U1542" s="33"/>
    </row>
    <row r="1543" spans="1:21" ht="15" customHeight="1" x14ac:dyDescent="0.3">
      <c r="A1543" s="42"/>
      <c r="B1543" s="43" t="s">
        <v>887</v>
      </c>
      <c r="C1543" s="44" t="s">
        <v>45</v>
      </c>
      <c r="D1543" s="47">
        <v>1</v>
      </c>
      <c r="E1543" s="46" t="s">
        <v>47</v>
      </c>
      <c r="F1543" s="47">
        <v>1</v>
      </c>
      <c r="G1543" s="46" t="s">
        <v>48</v>
      </c>
      <c r="H1543" s="47">
        <v>0.98</v>
      </c>
      <c r="I1543" s="48">
        <v>8.5</v>
      </c>
      <c r="J1543" s="49">
        <f>ROUND((2912*$T$1),0)*1.05</f>
        <v>3057.6</v>
      </c>
      <c r="K1543" s="49">
        <f>ROUND((3098*$T$1),0)*1.05</f>
        <v>3252.9</v>
      </c>
      <c r="L1543" s="49">
        <f>ROUND((3253*$T$1),0)*1.05</f>
        <v>3415.65</v>
      </c>
      <c r="M1543" s="49">
        <f>ROUND((3407*$T$1),0)*1.05</f>
        <v>3577.3500000000004</v>
      </c>
      <c r="N1543" s="49">
        <f>ROUND((3562*$T$1),0)*1.05</f>
        <v>3740.1000000000004</v>
      </c>
      <c r="O1543" s="49">
        <f>ROUND((3716*$T$1),0)*1.05</f>
        <v>3901.8</v>
      </c>
      <c r="P1543" s="49">
        <f>ROUND((3870*$T$1),0)*1.05</f>
        <v>4063.5</v>
      </c>
      <c r="Q1543" s="49">
        <f>ROUND((4024*$T$1),0)*1.05</f>
        <v>4225.2</v>
      </c>
      <c r="R1543" s="33"/>
      <c r="S1543" s="33"/>
      <c r="T1543" s="33"/>
      <c r="U1543" s="33"/>
    </row>
    <row r="1544" spans="1:21" ht="15" customHeight="1" x14ac:dyDescent="0.3">
      <c r="A1544" s="42"/>
      <c r="B1544" s="43" t="s">
        <v>888</v>
      </c>
      <c r="C1544" s="44" t="s">
        <v>45</v>
      </c>
      <c r="D1544" s="47">
        <v>1.1000000000000001</v>
      </c>
      <c r="E1544" s="46" t="s">
        <v>47</v>
      </c>
      <c r="F1544" s="47">
        <v>1</v>
      </c>
      <c r="G1544" s="46" t="s">
        <v>48</v>
      </c>
      <c r="H1544" s="47">
        <v>0.98</v>
      </c>
      <c r="I1544" s="48">
        <v>9</v>
      </c>
      <c r="J1544" s="49">
        <f>ROUND((3066*$T$1),0)*1.05</f>
        <v>3219.3</v>
      </c>
      <c r="K1544" s="49">
        <f>ROUND((3261*$T$1),0)*1.05</f>
        <v>3424.05</v>
      </c>
      <c r="L1544" s="49">
        <f>ROUND((3425*$T$1),0)*1.05</f>
        <v>3596.25</v>
      </c>
      <c r="M1544" s="49">
        <f>ROUND((3586*$T$1),0)*1.05</f>
        <v>3765.3</v>
      </c>
      <c r="N1544" s="49">
        <f>ROUND((3750*$T$1),0)*1.05</f>
        <v>3937.5</v>
      </c>
      <c r="O1544" s="49">
        <f>ROUND((3912*$T$1),0)*1.05</f>
        <v>4107.6000000000004</v>
      </c>
      <c r="P1544" s="49">
        <f>ROUND((4076*$T$1),0)*1.05</f>
        <v>4279.8</v>
      </c>
      <c r="Q1544" s="49">
        <f>ROUND((4240*$T$1),0)*1.05</f>
        <v>4452</v>
      </c>
      <c r="R1544" s="33"/>
      <c r="S1544" s="33"/>
      <c r="T1544" s="33"/>
      <c r="U1544" s="33"/>
    </row>
    <row r="1545" spans="1:21" ht="15" customHeight="1" x14ac:dyDescent="0.3">
      <c r="A1545" s="42"/>
      <c r="B1545" s="43" t="s">
        <v>889</v>
      </c>
      <c r="C1545" s="44" t="s">
        <v>45</v>
      </c>
      <c r="D1545" s="47">
        <v>1.2</v>
      </c>
      <c r="E1545" s="46" t="s">
        <v>47</v>
      </c>
      <c r="F1545" s="47">
        <v>1</v>
      </c>
      <c r="G1545" s="46" t="s">
        <v>48</v>
      </c>
      <c r="H1545" s="47">
        <v>0.98</v>
      </c>
      <c r="I1545" s="48">
        <v>9.5</v>
      </c>
      <c r="J1545" s="49">
        <f>ROUND((3227*$T$1),0)*1.05</f>
        <v>3388.3500000000004</v>
      </c>
      <c r="K1545" s="49">
        <f>ROUND((3432*$T$1),0)*1.05</f>
        <v>3603.6000000000004</v>
      </c>
      <c r="L1545" s="49">
        <f>ROUND((3605*$T$1),0)*1.05</f>
        <v>3785.25</v>
      </c>
      <c r="M1545" s="49">
        <f>ROUND((3775*$T$1),0)*1.05</f>
        <v>3963.75</v>
      </c>
      <c r="N1545" s="49">
        <f>ROUND((3947*$T$1),0)*1.05</f>
        <v>4144.3500000000004</v>
      </c>
      <c r="O1545" s="49">
        <f>ROUND((4117*$T$1),0)*1.05</f>
        <v>4322.8500000000004</v>
      </c>
      <c r="P1545" s="49">
        <f>ROUND((4287*$T$1),0)*1.05</f>
        <v>4501.3500000000004</v>
      </c>
      <c r="Q1545" s="49">
        <f>ROUND((4457*$T$1),0)*1.05</f>
        <v>4679.8500000000004</v>
      </c>
      <c r="R1545" s="33"/>
      <c r="S1545" s="33"/>
      <c r="T1545" s="33"/>
      <c r="U1545" s="33"/>
    </row>
    <row r="1546" spans="1:21" ht="15" customHeight="1" x14ac:dyDescent="0.3">
      <c r="A1546" s="42"/>
      <c r="B1546" s="86"/>
      <c r="C1546" s="119"/>
      <c r="D1546" s="86"/>
      <c r="E1546" s="86"/>
      <c r="F1546" s="86"/>
      <c r="G1546" s="86"/>
      <c r="H1546" s="86"/>
      <c r="I1546" s="55"/>
      <c r="J1546" s="56"/>
      <c r="K1546" s="56"/>
      <c r="L1546" s="56"/>
      <c r="M1546" s="56"/>
      <c r="N1546" s="56"/>
      <c r="O1546" s="56"/>
      <c r="P1546" s="56"/>
      <c r="Q1546" s="56"/>
    </row>
    <row r="1547" spans="1:21" ht="15" customHeight="1" x14ac:dyDescent="0.3">
      <c r="A1547" s="42"/>
      <c r="B1547" s="86"/>
      <c r="C1547" s="119"/>
      <c r="D1547" s="86"/>
      <c r="E1547" s="86"/>
      <c r="F1547" s="86"/>
      <c r="G1547" s="86"/>
      <c r="H1547" s="86"/>
      <c r="I1547" s="55"/>
      <c r="J1547" s="56"/>
      <c r="K1547" s="56"/>
      <c r="L1547" s="56"/>
      <c r="M1547" s="87" t="s">
        <v>134</v>
      </c>
      <c r="N1547" s="56"/>
      <c r="O1547" s="56"/>
      <c r="P1547" s="56"/>
      <c r="Q1547" s="56"/>
    </row>
    <row r="1548" spans="1:21" ht="15" customHeight="1" x14ac:dyDescent="0.3">
      <c r="A1548" s="42"/>
      <c r="B1548" s="59" t="s">
        <v>511</v>
      </c>
      <c r="C1548" s="60"/>
      <c r="D1548" s="59"/>
      <c r="E1548" s="59"/>
      <c r="F1548" s="59"/>
      <c r="G1548" s="59"/>
      <c r="H1548" s="59"/>
      <c r="I1548" s="61"/>
      <c r="J1548" s="62"/>
      <c r="K1548" s="62"/>
      <c r="L1548" s="62"/>
      <c r="M1548" s="62"/>
      <c r="N1548" s="62"/>
      <c r="O1548" s="62"/>
      <c r="P1548" s="62"/>
      <c r="Q1548" s="62"/>
    </row>
    <row r="1550" spans="1:21" ht="29.1" customHeight="1" x14ac:dyDescent="0.25">
      <c r="A1550" s="189" t="s">
        <v>890</v>
      </c>
      <c r="B1550" s="189"/>
      <c r="C1550" s="187" t="s">
        <v>41</v>
      </c>
      <c r="D1550" s="187"/>
      <c r="E1550" s="187"/>
      <c r="F1550" s="187"/>
      <c r="G1550" s="187"/>
      <c r="H1550" s="187"/>
      <c r="I1550" s="78" t="s">
        <v>42</v>
      </c>
      <c r="J1550" s="41" t="s">
        <v>43</v>
      </c>
      <c r="K1550" s="41">
        <v>1000</v>
      </c>
      <c r="L1550" s="41">
        <v>2000</v>
      </c>
      <c r="M1550" s="41">
        <v>3000</v>
      </c>
      <c r="N1550" s="41">
        <v>4000</v>
      </c>
      <c r="O1550" s="41">
        <v>5000</v>
      </c>
      <c r="P1550" s="41">
        <v>6000</v>
      </c>
      <c r="Q1550" s="41">
        <v>7000</v>
      </c>
    </row>
    <row r="1551" spans="1:21" ht="15" customHeight="1" x14ac:dyDescent="0.3">
      <c r="A1551" s="42"/>
      <c r="B1551" s="50" t="s">
        <v>891</v>
      </c>
      <c r="C1551" s="51" t="s">
        <v>45</v>
      </c>
      <c r="D1551" s="54">
        <v>1.4</v>
      </c>
      <c r="E1551" s="53" t="s">
        <v>47</v>
      </c>
      <c r="F1551" s="54">
        <v>1</v>
      </c>
      <c r="G1551" s="53" t="s">
        <v>48</v>
      </c>
      <c r="H1551" s="90">
        <v>0.98</v>
      </c>
      <c r="I1551" s="55">
        <v>10</v>
      </c>
      <c r="J1551" s="56">
        <f>ROUND((4061*$T$1),0)*1.05</f>
        <v>4264.05</v>
      </c>
      <c r="K1551" s="56">
        <f>ROUND((4511*$T$1),0)*1.05</f>
        <v>4736.55</v>
      </c>
      <c r="L1551" s="56">
        <f>ROUND((4585*$T$1),0)*1.05</f>
        <v>4814.25</v>
      </c>
      <c r="M1551" s="56">
        <f>ROUND((4669*$T$1),0)*1.05</f>
        <v>4902.45</v>
      </c>
      <c r="N1551" s="56">
        <f>ROUND((4754*$T$1),0)*1.05</f>
        <v>4991.7</v>
      </c>
      <c r="O1551" s="56">
        <f>ROUND((4806*$T$1),0)*1.05</f>
        <v>5046.3</v>
      </c>
      <c r="P1551" s="56">
        <f>ROUND((4958*$T$1),0)*1.05</f>
        <v>5205.9000000000005</v>
      </c>
      <c r="Q1551" s="56">
        <f>ROUND((5212*$T$1),0)*1.05</f>
        <v>5472.6</v>
      </c>
    </row>
    <row r="1552" spans="1:21" ht="15" customHeight="1" x14ac:dyDescent="0.3">
      <c r="A1552" s="42"/>
      <c r="B1552" s="50" t="s">
        <v>892</v>
      </c>
      <c r="C1552" s="51" t="s">
        <v>45</v>
      </c>
      <c r="D1552" s="54">
        <v>1.2</v>
      </c>
      <c r="E1552" s="53" t="s">
        <v>47</v>
      </c>
      <c r="F1552" s="54">
        <v>1</v>
      </c>
      <c r="G1552" s="53" t="s">
        <v>48</v>
      </c>
      <c r="H1552" s="90">
        <v>0.98</v>
      </c>
      <c r="I1552" s="55">
        <v>9</v>
      </c>
      <c r="J1552" s="56">
        <f>ROUND((3958*$T$1),0)*1.05</f>
        <v>4155.9000000000005</v>
      </c>
      <c r="K1552" s="56">
        <f>ROUND((4399*$T$1),0)*1.05</f>
        <v>4618.95</v>
      </c>
      <c r="L1552" s="56">
        <f>ROUND((4470*$T$1),0)*1.05</f>
        <v>4693.5</v>
      </c>
      <c r="M1552" s="56">
        <f>ROUND((4553*$T$1),0)*1.05</f>
        <v>4780.6500000000005</v>
      </c>
      <c r="N1552" s="56">
        <f>ROUND((4636*$T$1),0)*1.05</f>
        <v>4867.8</v>
      </c>
      <c r="O1552" s="56">
        <f>ROUND((4686*$T$1),0)*1.05</f>
        <v>4920.3</v>
      </c>
      <c r="P1552" s="56">
        <f>ROUND((4833*$T$1),0)*1.05</f>
        <v>5074.6500000000005</v>
      </c>
      <c r="Q1552" s="56">
        <f>ROUND((5085*$T$1),0)*1.05</f>
        <v>5339.25</v>
      </c>
    </row>
    <row r="1553" spans="1:17" ht="15" customHeight="1" x14ac:dyDescent="0.3">
      <c r="A1553" s="42"/>
      <c r="B1553" s="50" t="s">
        <v>893</v>
      </c>
      <c r="C1553" s="51" t="s">
        <v>45</v>
      </c>
      <c r="D1553" s="54">
        <v>1</v>
      </c>
      <c r="E1553" s="53" t="s">
        <v>47</v>
      </c>
      <c r="F1553" s="54">
        <v>1</v>
      </c>
      <c r="G1553" s="53" t="s">
        <v>48</v>
      </c>
      <c r="H1553" s="90">
        <v>0.98</v>
      </c>
      <c r="I1553" s="55">
        <v>9</v>
      </c>
      <c r="J1553" s="56">
        <f>ROUND((3859*$T$1),0)*1.05</f>
        <v>4051.9500000000003</v>
      </c>
      <c r="K1553" s="56">
        <f>ROUND((4288*$T$1),0)*1.05</f>
        <v>4502.4000000000005</v>
      </c>
      <c r="L1553" s="56">
        <f>ROUND((4359*$T$1),0)*1.05</f>
        <v>4576.95</v>
      </c>
      <c r="M1553" s="56">
        <f>ROUND((4439*$T$1),0)*1.05</f>
        <v>4660.95</v>
      </c>
      <c r="N1553" s="56">
        <f>ROUND((4520*$T$1),0)*1.05</f>
        <v>4746</v>
      </c>
      <c r="O1553" s="56">
        <f>ROUND((4569*$T$1),0)*1.05</f>
        <v>4797.45</v>
      </c>
      <c r="P1553" s="56">
        <f>ROUND((4713*$T$1),0)*1.05</f>
        <v>4948.6500000000005</v>
      </c>
      <c r="Q1553" s="56">
        <f>ROUND((4954*$T$1),0)*1.05</f>
        <v>5201.7</v>
      </c>
    </row>
    <row r="1554" spans="1:17" ht="15" customHeight="1" x14ac:dyDescent="0.3">
      <c r="A1554" s="42"/>
      <c r="B1554" s="50"/>
      <c r="C1554" s="51"/>
      <c r="D1554" s="54"/>
      <c r="E1554" s="53"/>
      <c r="F1554" s="54"/>
      <c r="G1554" s="53"/>
      <c r="H1554" s="90"/>
      <c r="I1554" s="55"/>
      <c r="J1554" s="56"/>
      <c r="K1554" s="56"/>
      <c r="L1554" s="56"/>
      <c r="M1554" s="56"/>
      <c r="N1554" s="56"/>
      <c r="O1554" s="56"/>
      <c r="P1554" s="56"/>
      <c r="Q1554" s="56"/>
    </row>
    <row r="1555" spans="1:17" ht="15" customHeight="1" x14ac:dyDescent="0.3">
      <c r="A1555" s="42"/>
      <c r="B1555" s="50" t="s">
        <v>894</v>
      </c>
      <c r="C1555" s="51" t="s">
        <v>45</v>
      </c>
      <c r="D1555" s="54">
        <v>1.2</v>
      </c>
      <c r="E1555" s="53" t="s">
        <v>47</v>
      </c>
      <c r="F1555" s="54">
        <v>1</v>
      </c>
      <c r="G1555" s="53" t="s">
        <v>48</v>
      </c>
      <c r="H1555" s="90">
        <v>0.98</v>
      </c>
      <c r="I1555" s="55">
        <v>8</v>
      </c>
      <c r="J1555" s="56">
        <f>ROUND((3778*$T$1),0)*1.05</f>
        <v>3966.9</v>
      </c>
      <c r="K1555" s="56">
        <f>ROUND((4198*$T$1),0)*1.05</f>
        <v>4407.9000000000005</v>
      </c>
      <c r="L1555" s="56">
        <f>ROUND((4260*$T$1),0)*1.05</f>
        <v>4473</v>
      </c>
      <c r="M1555" s="56">
        <f>ROUND((4330*$T$1),0)*1.05</f>
        <v>4546.5</v>
      </c>
      <c r="N1555" s="56">
        <f>ROUND((4401*$T$1),0)*1.05</f>
        <v>4621.05</v>
      </c>
      <c r="O1555" s="56">
        <f>ROUND((4445*$T$1),0)*1.05</f>
        <v>4667.25</v>
      </c>
      <c r="P1555" s="56">
        <f>ROUND((4572*$T$1),0)*1.05</f>
        <v>4800.6000000000004</v>
      </c>
      <c r="Q1555" s="56">
        <f>ROUND((4786*$T$1),0)*1.05</f>
        <v>5025.3</v>
      </c>
    </row>
    <row r="1556" spans="1:17" ht="15" customHeight="1" x14ac:dyDescent="0.3">
      <c r="A1556" s="42"/>
      <c r="B1556" s="50" t="s">
        <v>895</v>
      </c>
      <c r="C1556" s="51" t="s">
        <v>45</v>
      </c>
      <c r="D1556" s="54">
        <v>1</v>
      </c>
      <c r="E1556" s="53" t="s">
        <v>47</v>
      </c>
      <c r="F1556" s="54">
        <v>1</v>
      </c>
      <c r="G1556" s="53" t="s">
        <v>48</v>
      </c>
      <c r="H1556" s="90">
        <v>0.98</v>
      </c>
      <c r="I1556" s="55">
        <v>7</v>
      </c>
      <c r="J1556" s="56">
        <f>ROUND((3702*$T$1),0)*1.05</f>
        <v>3887.1000000000004</v>
      </c>
      <c r="K1556" s="56">
        <f>ROUND((4114*$T$1),0)*1.05</f>
        <v>4319.7</v>
      </c>
      <c r="L1556" s="56">
        <f>ROUND((4175*$T$1),0)*1.05</f>
        <v>4383.75</v>
      </c>
      <c r="M1556" s="56">
        <f>ROUND((4244*$T$1),0)*1.05</f>
        <v>4456.2</v>
      </c>
      <c r="N1556" s="56">
        <f>ROUND((4313*$T$1),0)*1.05</f>
        <v>4528.6500000000005</v>
      </c>
      <c r="O1556" s="56">
        <f>ROUND((4356*$T$1),0)*1.05</f>
        <v>4573.8</v>
      </c>
      <c r="P1556" s="56">
        <f>ROUND((4480*$T$1),0)*1.05</f>
        <v>4704</v>
      </c>
      <c r="Q1556" s="56">
        <f>ROUND((4691*$T$1),0)*1.05</f>
        <v>4925.55</v>
      </c>
    </row>
    <row r="1557" spans="1:17" ht="15" customHeight="1" x14ac:dyDescent="0.3">
      <c r="A1557" s="42"/>
      <c r="B1557" s="50" t="s">
        <v>896</v>
      </c>
      <c r="C1557" s="51" t="s">
        <v>45</v>
      </c>
      <c r="D1557" s="54">
        <v>0.8</v>
      </c>
      <c r="E1557" s="53" t="s">
        <v>47</v>
      </c>
      <c r="F1557" s="54">
        <v>1</v>
      </c>
      <c r="G1557" s="53" t="s">
        <v>48</v>
      </c>
      <c r="H1557" s="90">
        <v>0.98</v>
      </c>
      <c r="I1557" s="55">
        <v>6</v>
      </c>
      <c r="J1557" s="56">
        <f>ROUND((3628*$T$1),0)*1.05</f>
        <v>3809.4</v>
      </c>
      <c r="K1557" s="56">
        <f>ROUND((4031*$T$1),0)*1.05</f>
        <v>4232.55</v>
      </c>
      <c r="L1557" s="56">
        <f>ROUND((4091*$T$1),0)*1.05</f>
        <v>4295.55</v>
      </c>
      <c r="M1557" s="56">
        <f>ROUND((4158*$T$1),0)*1.05</f>
        <v>4365.9000000000005</v>
      </c>
      <c r="N1557" s="56">
        <f>ROUND((4226*$T$1),0)*1.05</f>
        <v>4437.3</v>
      </c>
      <c r="O1557" s="56">
        <f>ROUND((4269*$T$1),0)*1.05</f>
        <v>4482.45</v>
      </c>
      <c r="P1557" s="56">
        <f>ROUND((4392*$T$1),0)*1.05</f>
        <v>4611.6000000000004</v>
      </c>
      <c r="Q1557" s="56">
        <f>ROUND((4597*$T$1),0)*1.05</f>
        <v>4826.8500000000004</v>
      </c>
    </row>
    <row r="1559" spans="1:17" ht="15" customHeight="1" x14ac:dyDescent="0.3">
      <c r="B1559" s="50" t="s">
        <v>897</v>
      </c>
      <c r="C1559" s="51" t="s">
        <v>45</v>
      </c>
      <c r="D1559" s="54">
        <v>1.4</v>
      </c>
      <c r="E1559" s="53" t="s">
        <v>47</v>
      </c>
      <c r="F1559" s="54">
        <v>1.4</v>
      </c>
      <c r="G1559" s="53" t="s">
        <v>48</v>
      </c>
      <c r="H1559" s="90">
        <v>0.98</v>
      </c>
      <c r="I1559" s="55">
        <v>9</v>
      </c>
      <c r="J1559" s="56">
        <f>ROUND((4062*$T$1),0)*1.05</f>
        <v>4265.1000000000004</v>
      </c>
      <c r="K1559" s="56">
        <f>ROUND((4510*$T$1),0)*1.05</f>
        <v>4735.5</v>
      </c>
      <c r="L1559" s="56">
        <f>ROUND((4604*$T$1),0)*1.05</f>
        <v>4834.2</v>
      </c>
      <c r="M1559" s="56">
        <f>ROUND((4698*$T$1),0)*1.05</f>
        <v>4932.9000000000005</v>
      </c>
      <c r="N1559" s="56">
        <f>ROUND((4792*$T$1),0)*1.05</f>
        <v>5031.6000000000004</v>
      </c>
      <c r="O1559" s="56">
        <f>ROUND((4886*$T$1),0)*1.05</f>
        <v>5130.3</v>
      </c>
      <c r="P1559" s="56">
        <f>ROUND((4910*$T$1),0)*1.05</f>
        <v>5155.5</v>
      </c>
      <c r="Q1559" s="56">
        <f>ROUND((5100*$T$1),0)*1.05</f>
        <v>5355</v>
      </c>
    </row>
    <row r="1560" spans="1:17" ht="15" customHeight="1" x14ac:dyDescent="0.3">
      <c r="B1560" s="50" t="s">
        <v>898</v>
      </c>
      <c r="C1560" s="51" t="s">
        <v>45</v>
      </c>
      <c r="D1560" s="54">
        <v>1.2</v>
      </c>
      <c r="E1560" s="53" t="s">
        <v>47</v>
      </c>
      <c r="F1560" s="54">
        <v>1.4</v>
      </c>
      <c r="G1560" s="53" t="s">
        <v>48</v>
      </c>
      <c r="H1560" s="90">
        <v>0.98</v>
      </c>
      <c r="I1560" s="55">
        <v>8</v>
      </c>
      <c r="J1560" s="56">
        <f>ROUND((3959*$T$1),0)*1.05</f>
        <v>4156.95</v>
      </c>
      <c r="K1560" s="56">
        <f>ROUND((4410*$T$1),0)*1.05</f>
        <v>4630.5</v>
      </c>
      <c r="L1560" s="56">
        <f>ROUND((4617*$T$1),0)*1.05</f>
        <v>4847.8500000000004</v>
      </c>
      <c r="M1560" s="56">
        <f>ROUND((4710*$T$1),0)*1.05</f>
        <v>4945.5</v>
      </c>
      <c r="N1560" s="56">
        <f>ROUND((4880*$T$1),0)*1.05</f>
        <v>5124</v>
      </c>
      <c r="O1560" s="56">
        <f>ROUND((4940*$T$1),0)*1.05</f>
        <v>5187</v>
      </c>
      <c r="P1560" s="56">
        <f>ROUND((5001*$T$1),0)*1.05</f>
        <v>5251.05</v>
      </c>
      <c r="Q1560" s="56">
        <f>ROUND((5236*$T$1),0)*1.05</f>
        <v>5497.8</v>
      </c>
    </row>
    <row r="1561" spans="1:17" ht="15" customHeight="1" x14ac:dyDescent="0.3">
      <c r="B1561" s="50" t="s">
        <v>899</v>
      </c>
      <c r="C1561" s="51" t="s">
        <v>45</v>
      </c>
      <c r="D1561" s="54">
        <v>1</v>
      </c>
      <c r="E1561" s="53" t="s">
        <v>47</v>
      </c>
      <c r="F1561" s="54">
        <v>1.4</v>
      </c>
      <c r="G1561" s="53" t="s">
        <v>48</v>
      </c>
      <c r="H1561" s="90">
        <v>0.98</v>
      </c>
      <c r="I1561" s="55">
        <v>7</v>
      </c>
      <c r="J1561" s="56">
        <f>ROUND((4245*$T$1),0)*1.05</f>
        <v>4457.25</v>
      </c>
      <c r="K1561" s="56">
        <f>ROUND((4717*$T$1),0)*1.05</f>
        <v>4952.8500000000004</v>
      </c>
      <c r="L1561" s="56">
        <f>ROUND((4795*$T$1),0)*1.05</f>
        <v>5034.75</v>
      </c>
      <c r="M1561" s="56">
        <f>ROUND((4883*$T$1),0)*1.05</f>
        <v>5127.1500000000005</v>
      </c>
      <c r="N1561" s="56">
        <f>ROUND((4972*$T$1),0)*1.05</f>
        <v>5220.6000000000004</v>
      </c>
      <c r="O1561" s="56">
        <f>ROUND((5026*$T$1),0)*1.05</f>
        <v>5277.3</v>
      </c>
      <c r="P1561" s="56">
        <f>ROUND((5184*$T$1),0)*1.05</f>
        <v>5443.2</v>
      </c>
      <c r="Q1561" s="56">
        <f>ROUND((5449*$T$1),0)*1.05</f>
        <v>5721.45</v>
      </c>
    </row>
    <row r="1563" spans="1:17" ht="15" customHeight="1" x14ac:dyDescent="0.3">
      <c r="B1563" s="50" t="s">
        <v>900</v>
      </c>
      <c r="C1563" s="51" t="s">
        <v>45</v>
      </c>
      <c r="D1563" s="54">
        <v>1.8</v>
      </c>
      <c r="E1563" s="53" t="s">
        <v>47</v>
      </c>
      <c r="F1563" s="54">
        <v>1</v>
      </c>
      <c r="G1563" s="53" t="s">
        <v>48</v>
      </c>
      <c r="H1563" s="90">
        <v>0.98</v>
      </c>
      <c r="I1563" s="55">
        <v>10</v>
      </c>
      <c r="J1563" s="56">
        <f>ROUND((4670*$T$1),0)*1.05</f>
        <v>4903.5</v>
      </c>
      <c r="K1563" s="56">
        <f>ROUND((5188*$T$1),0)*1.05</f>
        <v>5447.4000000000005</v>
      </c>
      <c r="L1563" s="56">
        <f>ROUND((5273*$T$1),0)*1.05</f>
        <v>5536.6500000000005</v>
      </c>
      <c r="M1563" s="56">
        <f>ROUND((5369*$T$1),0)*1.05</f>
        <v>5637.45</v>
      </c>
      <c r="N1563" s="56">
        <f>ROUND((5467*$T$1),0)*1.05</f>
        <v>5740.35</v>
      </c>
      <c r="O1563" s="56">
        <f>ROUND((5527*$T$1),0)*1.05</f>
        <v>5803.35</v>
      </c>
      <c r="P1563" s="56">
        <f>ROUND((5702*$T$1),0)*1.05</f>
        <v>5987.1</v>
      </c>
      <c r="Q1563" s="56">
        <f>ROUND((5994*$T$1),0)*1.05</f>
        <v>6293.7</v>
      </c>
    </row>
    <row r="1564" spans="1:17" ht="15" customHeight="1" x14ac:dyDescent="0.3">
      <c r="B1564" s="50" t="s">
        <v>901</v>
      </c>
      <c r="C1564" s="51" t="s">
        <v>45</v>
      </c>
      <c r="D1564" s="54">
        <v>1.6</v>
      </c>
      <c r="E1564" s="53" t="s">
        <v>47</v>
      </c>
      <c r="F1564" s="54">
        <v>1</v>
      </c>
      <c r="G1564" s="53" t="s">
        <v>48</v>
      </c>
      <c r="H1564" s="90">
        <v>0.98</v>
      </c>
      <c r="I1564" s="55">
        <v>9</v>
      </c>
      <c r="J1564" s="56">
        <f>ROUND((4552*$T$1),0)*1.05</f>
        <v>4779.6000000000004</v>
      </c>
      <c r="K1564" s="56">
        <f>ROUND((5059*$T$1),0)*1.05</f>
        <v>5311.95</v>
      </c>
      <c r="L1564" s="56">
        <f>ROUND((5141*$T$1),0)*1.05</f>
        <v>5398.05</v>
      </c>
      <c r="M1564" s="56">
        <f>ROUND((5236*$T$1),0)*1.05</f>
        <v>5497.8</v>
      </c>
      <c r="N1564" s="56">
        <f>ROUND((5331*$T$1),0)*1.05</f>
        <v>5597.55</v>
      </c>
      <c r="O1564" s="56">
        <f>ROUND((5389*$T$1),0)*1.05</f>
        <v>5658.45</v>
      </c>
      <c r="P1564" s="56">
        <f>ROUND((5558*$T$1),0)*1.05</f>
        <v>5835.9000000000005</v>
      </c>
      <c r="Q1564" s="56">
        <f>ROUND((5844*$T$1),0)*1.05</f>
        <v>6136.2</v>
      </c>
    </row>
    <row r="1565" spans="1:17" ht="15" customHeight="1" x14ac:dyDescent="0.3">
      <c r="B1565" s="50" t="s">
        <v>902</v>
      </c>
      <c r="C1565" s="51" t="s">
        <v>45</v>
      </c>
      <c r="D1565" s="54">
        <v>1.4</v>
      </c>
      <c r="E1565" s="53" t="s">
        <v>47</v>
      </c>
      <c r="F1565" s="54">
        <v>1</v>
      </c>
      <c r="G1565" s="53" t="s">
        <v>48</v>
      </c>
      <c r="H1565" s="90">
        <v>0.98</v>
      </c>
      <c r="I1565" s="55">
        <v>8</v>
      </c>
      <c r="J1565" s="56">
        <f>ROUND((4438*$T$1),0)*1.05</f>
        <v>4659.9000000000005</v>
      </c>
      <c r="K1565" s="56">
        <f>ROUND((4931*$T$1),0)*1.05</f>
        <v>5177.55</v>
      </c>
      <c r="L1565" s="56">
        <f>ROUND((5013*$T$1),0)*1.05</f>
        <v>5263.6500000000005</v>
      </c>
      <c r="M1565" s="56">
        <f>ROUND((5105*$T$1),0)*1.05</f>
        <v>5360.25</v>
      </c>
      <c r="N1565" s="56">
        <f>ROUND((5198*$T$1),0)*1.05</f>
        <v>5457.9000000000005</v>
      </c>
      <c r="O1565" s="56">
        <f>ROUND((5254*$T$1),0)*1.05</f>
        <v>5516.7</v>
      </c>
      <c r="P1565" s="56">
        <f>ROUND((5420*$T$1),0)*1.05</f>
        <v>5691</v>
      </c>
      <c r="Q1565" s="56">
        <f>ROUND((5697*$T$1),0)*1.05</f>
        <v>5981.85</v>
      </c>
    </row>
    <row r="1566" spans="1:17" ht="15" customHeight="1" x14ac:dyDescent="0.3">
      <c r="B1566" s="50"/>
      <c r="C1566" s="51"/>
      <c r="D1566" s="54"/>
      <c r="E1566" s="53"/>
      <c r="F1566" s="54"/>
      <c r="G1566" s="53"/>
      <c r="H1566" s="90"/>
      <c r="I1566" s="55"/>
      <c r="J1566" s="56"/>
      <c r="K1566" s="56"/>
      <c r="L1566" s="56"/>
      <c r="M1566" s="56"/>
      <c r="N1566" s="56"/>
      <c r="O1566" s="56"/>
      <c r="P1566" s="56"/>
      <c r="Q1566" s="56"/>
    </row>
    <row r="1567" spans="1:17" ht="15" customHeight="1" x14ac:dyDescent="0.3">
      <c r="B1567" s="50" t="s">
        <v>903</v>
      </c>
      <c r="C1567" s="51" t="s">
        <v>45</v>
      </c>
      <c r="D1567" s="54">
        <v>1.2</v>
      </c>
      <c r="E1567" s="53" t="s">
        <v>47</v>
      </c>
      <c r="F1567" s="54">
        <v>1.4</v>
      </c>
      <c r="G1567" s="53" t="s">
        <v>48</v>
      </c>
      <c r="H1567" s="90">
        <v>0.98</v>
      </c>
      <c r="I1567" s="55">
        <v>8</v>
      </c>
      <c r="J1567" s="56">
        <f>ROUND((3959*$T$1),0)*1.05</f>
        <v>4156.95</v>
      </c>
      <c r="K1567" s="56">
        <f>ROUND((4839*$T$1),0)*1.05</f>
        <v>5080.95</v>
      </c>
      <c r="L1567" s="56">
        <f>ROUND((4917*$T$1),0)*1.05</f>
        <v>5162.8500000000004</v>
      </c>
      <c r="M1567" s="56">
        <f>ROUND((5008*$T$1),0)*1.05</f>
        <v>5258.4000000000005</v>
      </c>
      <c r="N1567" s="56">
        <f>ROUND((5100*$T$1),0)*1.05</f>
        <v>5355</v>
      </c>
      <c r="O1567" s="56">
        <f>ROUND((5155*$T$1),0)*1.05</f>
        <v>5412.75</v>
      </c>
      <c r="P1567" s="56">
        <f>ROUND((5316*$T$1),0)*1.05</f>
        <v>5581.8</v>
      </c>
      <c r="Q1567" s="56">
        <f>ROUND((5590*$T$1),0)*1.05</f>
        <v>5869.5</v>
      </c>
    </row>
    <row r="1568" spans="1:17" ht="15" customHeight="1" x14ac:dyDescent="0.3">
      <c r="B1568" s="50" t="s">
        <v>904</v>
      </c>
      <c r="C1568" s="51" t="s">
        <v>45</v>
      </c>
      <c r="D1568" s="54">
        <v>1</v>
      </c>
      <c r="E1568" s="53" t="s">
        <v>47</v>
      </c>
      <c r="F1568" s="54">
        <v>1.4</v>
      </c>
      <c r="G1568" s="53" t="s">
        <v>48</v>
      </c>
      <c r="H1568" s="90">
        <v>0.98</v>
      </c>
      <c r="I1568" s="55">
        <v>7</v>
      </c>
      <c r="J1568" s="56">
        <f>ROUND((4245*$T$1),0)*1.05</f>
        <v>4457.25</v>
      </c>
      <c r="K1568" s="56">
        <f>ROUND((4717*$T$1),0)*1.05</f>
        <v>4952.8500000000004</v>
      </c>
      <c r="L1568" s="56">
        <f>ROUND((4795*$T$1),0)*1.05</f>
        <v>5034.75</v>
      </c>
      <c r="M1568" s="56">
        <f>ROUND((4883*$T$1),0)*1.05</f>
        <v>5127.1500000000005</v>
      </c>
      <c r="N1568" s="56">
        <f>ROUND((4972*$T$1),0)*1.05</f>
        <v>5220.6000000000004</v>
      </c>
      <c r="O1568" s="56">
        <f>ROUND((5026*$T$1),0)*1.05</f>
        <v>5277.3</v>
      </c>
      <c r="P1568" s="56">
        <f>ROUND((5184*$T$1),0)*1.05</f>
        <v>5443.2</v>
      </c>
      <c r="Q1568" s="56">
        <f>ROUND((5449*$T$1),0)*1.05</f>
        <v>5721.45</v>
      </c>
    </row>
    <row r="1569" spans="1:21" ht="15" customHeight="1" x14ac:dyDescent="0.3">
      <c r="B1569" s="50" t="s">
        <v>905</v>
      </c>
      <c r="C1569" s="51" t="s">
        <v>45</v>
      </c>
      <c r="D1569" s="54">
        <v>0.8</v>
      </c>
      <c r="E1569" s="53" t="s">
        <v>47</v>
      </c>
      <c r="F1569" s="54">
        <v>1.4</v>
      </c>
      <c r="G1569" s="53" t="s">
        <v>48</v>
      </c>
      <c r="H1569" s="90">
        <v>0.98</v>
      </c>
      <c r="I1569" s="55">
        <v>7</v>
      </c>
      <c r="J1569" s="56">
        <f>ROUND((4172*$T$1),0)*1.05</f>
        <v>4380.6000000000004</v>
      </c>
      <c r="K1569" s="56">
        <f>ROUND((4644*$T$1),0)*1.05</f>
        <v>4876.2</v>
      </c>
      <c r="L1569" s="56">
        <f>ROUND((4705*$T$1),0)*1.05</f>
        <v>4940.25</v>
      </c>
      <c r="M1569" s="56">
        <f>ROUND((4782*$T$1),0)*1.05</f>
        <v>5021.1000000000004</v>
      </c>
      <c r="N1569" s="56">
        <f>ROUND((4860*$T$1),0)*1.05</f>
        <v>5103</v>
      </c>
      <c r="O1569" s="56">
        <f>ROUND((4909*$T$1),0)*1.05</f>
        <v>5154.45</v>
      </c>
      <c r="P1569" s="56">
        <f>ROUND((5051*$T$1),0)*1.05</f>
        <v>5303.55</v>
      </c>
      <c r="Q1569" s="56">
        <f>ROUND((5287*$T$1),0)*1.05</f>
        <v>5551.35</v>
      </c>
    </row>
    <row r="1571" spans="1:21" ht="15" customHeight="1" x14ac:dyDescent="0.3">
      <c r="B1571" s="50" t="s">
        <v>906</v>
      </c>
      <c r="C1571" s="51" t="s">
        <v>45</v>
      </c>
      <c r="D1571" s="54">
        <v>1.9</v>
      </c>
      <c r="E1571" s="53" t="s">
        <v>47</v>
      </c>
      <c r="F1571" s="54">
        <v>0.9</v>
      </c>
      <c r="G1571" s="53" t="s">
        <v>48</v>
      </c>
      <c r="H1571" s="90">
        <v>0.45</v>
      </c>
      <c r="I1571" s="55">
        <v>10</v>
      </c>
      <c r="J1571" s="56">
        <f>ROUND((4640*$T$1),0)*1.05</f>
        <v>4872</v>
      </c>
      <c r="K1571" s="56">
        <f>ROUND((5188*$T$1),0)*1.05</f>
        <v>5447.4000000000005</v>
      </c>
      <c r="L1571" s="56">
        <f>ROUND((5273*$T$1),0)*1.05</f>
        <v>5536.6500000000005</v>
      </c>
      <c r="M1571" s="56">
        <f>ROUND((5369*$T$1),0)*1.05</f>
        <v>5637.45</v>
      </c>
      <c r="N1571" s="56">
        <f>ROUND((5467*$T$1),0)*1.05</f>
        <v>5740.35</v>
      </c>
      <c r="O1571" s="56">
        <f>ROUND((5527*$T$1),0)*1.05</f>
        <v>5803.35</v>
      </c>
      <c r="P1571" s="56">
        <f>ROUND((5702*$T$1),0)*1.05</f>
        <v>5987.1</v>
      </c>
      <c r="Q1571" s="56">
        <f>ROUND((5994*$T$1),0)*1.05</f>
        <v>6293.7</v>
      </c>
    </row>
    <row r="1572" spans="1:21" ht="15" customHeight="1" x14ac:dyDescent="0.3">
      <c r="B1572" s="50" t="s">
        <v>907</v>
      </c>
      <c r="C1572" s="51" t="s">
        <v>45</v>
      </c>
      <c r="D1572" s="54">
        <v>1.8</v>
      </c>
      <c r="E1572" s="53" t="s">
        <v>47</v>
      </c>
      <c r="F1572" s="54">
        <v>0.9</v>
      </c>
      <c r="G1572" s="53" t="s">
        <v>48</v>
      </c>
      <c r="H1572" s="90">
        <v>0.45</v>
      </c>
      <c r="I1572" s="55">
        <v>9</v>
      </c>
      <c r="J1572" s="56">
        <f>ROUND((4552*$T$1),0)*1.05</f>
        <v>4779.6000000000004</v>
      </c>
      <c r="K1572" s="56">
        <f>ROUND((5059*$T$1),0)*1.05</f>
        <v>5311.95</v>
      </c>
      <c r="L1572" s="56">
        <f>ROUND((5141*$T$1),0)*1.05</f>
        <v>5398.05</v>
      </c>
      <c r="M1572" s="56">
        <f>ROUND((5236*$T$1),0)*1.05</f>
        <v>5497.8</v>
      </c>
      <c r="N1572" s="56">
        <f>ROUND((5331*$T$1),0)*1.05</f>
        <v>5597.55</v>
      </c>
      <c r="O1572" s="56">
        <f>ROUND((5389*$T$1),0)*1.05</f>
        <v>5658.45</v>
      </c>
      <c r="P1572" s="56">
        <f>ROUND((5558*$T$1),0)*1.05</f>
        <v>5835.9000000000005</v>
      </c>
      <c r="Q1572" s="56">
        <f>ROUND((5844*$T$1),0)*1.05</f>
        <v>6136.2</v>
      </c>
    </row>
    <row r="1573" spans="1:21" ht="15" customHeight="1" x14ac:dyDescent="0.3">
      <c r="B1573" s="50" t="s">
        <v>792</v>
      </c>
      <c r="C1573" s="51" t="s">
        <v>45</v>
      </c>
      <c r="D1573" s="54">
        <v>1</v>
      </c>
      <c r="E1573" s="53" t="s">
        <v>47</v>
      </c>
      <c r="F1573" s="54">
        <v>1</v>
      </c>
      <c r="G1573" s="53" t="s">
        <v>48</v>
      </c>
      <c r="H1573" s="90">
        <v>0.45</v>
      </c>
      <c r="I1573" s="55">
        <v>8</v>
      </c>
      <c r="J1573" s="56">
        <f>ROUND((1500*$T$1),0)*1.05</f>
        <v>1575</v>
      </c>
      <c r="K1573" s="56">
        <f>ROUND((1900*$T$1),0)*1.05</f>
        <v>1995</v>
      </c>
      <c r="L1573" s="56">
        <f>ROUND((1978*$T$1),0)*1.05</f>
        <v>2076.9</v>
      </c>
      <c r="M1573" s="56">
        <f>ROUND((2058*$T$1),0)*1.05</f>
        <v>2160.9</v>
      </c>
      <c r="N1573" s="56">
        <f>ROUND((2149*$T$1),0)*1.05</f>
        <v>2256.4500000000003</v>
      </c>
      <c r="O1573" s="56">
        <f>ROUND((2199*$T$1),0)*1.05</f>
        <v>2308.9500000000003</v>
      </c>
      <c r="P1573" s="56">
        <f>ROUND((2349*$T$1),0)*1.05</f>
        <v>2466.4500000000003</v>
      </c>
      <c r="Q1573" s="56">
        <f>ROUND((2559*$T$1),0)*1.05</f>
        <v>2686.9500000000003</v>
      </c>
    </row>
    <row r="1575" spans="1:21" ht="15" customHeight="1" x14ac:dyDescent="0.3">
      <c r="B1575" s="44"/>
      <c r="C1575" s="44"/>
      <c r="D1575" s="47"/>
      <c r="E1575" s="46"/>
      <c r="F1575" s="47"/>
      <c r="G1575" s="46"/>
      <c r="H1575" s="57"/>
      <c r="I1575" s="48"/>
      <c r="J1575" s="49"/>
      <c r="K1575" s="49"/>
      <c r="L1575" s="49"/>
      <c r="M1575" s="87" t="s">
        <v>134</v>
      </c>
      <c r="N1575" s="49"/>
      <c r="O1575" s="49"/>
      <c r="P1575" s="49"/>
      <c r="Q1575" s="49"/>
    </row>
    <row r="1576" spans="1:21" ht="15" customHeight="1" x14ac:dyDescent="0.3">
      <c r="B1576" s="59" t="s">
        <v>872</v>
      </c>
      <c r="C1576" s="60"/>
      <c r="D1576" s="59"/>
      <c r="E1576" s="59"/>
      <c r="F1576" s="59"/>
      <c r="G1576" s="59"/>
      <c r="H1576" s="59"/>
      <c r="I1576" s="61"/>
      <c r="J1576" s="62"/>
      <c r="K1576" s="62"/>
      <c r="L1576" s="62"/>
      <c r="M1576" s="62"/>
      <c r="N1576" s="62"/>
      <c r="O1576" s="62"/>
      <c r="P1576" s="62"/>
      <c r="Q1576" s="62"/>
    </row>
    <row r="1578" spans="1:21" ht="29.1" customHeight="1" x14ac:dyDescent="0.25">
      <c r="A1578" s="127" t="s">
        <v>908</v>
      </c>
      <c r="B1578" s="77"/>
      <c r="C1578" s="187" t="s">
        <v>41</v>
      </c>
      <c r="D1578" s="187"/>
      <c r="E1578" s="187"/>
      <c r="F1578" s="187"/>
      <c r="G1578" s="187"/>
      <c r="H1578" s="187"/>
      <c r="I1578" s="78" t="s">
        <v>42</v>
      </c>
      <c r="J1578" s="41" t="s">
        <v>43</v>
      </c>
      <c r="K1578" s="41">
        <v>1000</v>
      </c>
      <c r="L1578" s="41">
        <v>2000</v>
      </c>
      <c r="M1578" s="41">
        <v>3000</v>
      </c>
      <c r="N1578" s="41">
        <v>4000</v>
      </c>
      <c r="O1578" s="41">
        <v>5000</v>
      </c>
      <c r="P1578" s="41">
        <v>6000</v>
      </c>
      <c r="Q1578" s="41">
        <v>7000</v>
      </c>
    </row>
    <row r="1579" spans="1:21" ht="15" customHeight="1" x14ac:dyDescent="0.3">
      <c r="A1579" s="42"/>
      <c r="B1579" s="43" t="s">
        <v>909</v>
      </c>
      <c r="C1579" s="44" t="s">
        <v>45</v>
      </c>
      <c r="D1579" s="47">
        <v>1</v>
      </c>
      <c r="E1579" s="46" t="s">
        <v>47</v>
      </c>
      <c r="F1579" s="47">
        <v>0.86</v>
      </c>
      <c r="G1579" s="46" t="s">
        <v>48</v>
      </c>
      <c r="H1579" s="47">
        <v>0.98</v>
      </c>
      <c r="I1579" s="48">
        <v>4.5</v>
      </c>
      <c r="J1579" s="49">
        <f>ROUND((2760*$T$1),0)*1.05</f>
        <v>2898</v>
      </c>
      <c r="K1579" s="49">
        <f>ROUND((2936*$T$1),0)*1.05</f>
        <v>3082.8</v>
      </c>
      <c r="L1579" s="49">
        <f>ROUND((2998*$T$1),0)*1.05</f>
        <v>3147.9</v>
      </c>
      <c r="M1579" s="49">
        <f>ROUND((3060*$T$1),0)*1.05</f>
        <v>3213</v>
      </c>
      <c r="N1579" s="49">
        <f>ROUND((3122*$T$1),0)*1.05</f>
        <v>3278.1000000000004</v>
      </c>
      <c r="O1579" s="49">
        <f>ROUND((3183*$T$1),0)*1.05</f>
        <v>3342.15</v>
      </c>
      <c r="P1579" s="49">
        <f>ROUND((3245*$T$1),0)*1.05</f>
        <v>3407.25</v>
      </c>
      <c r="Q1579" s="49">
        <f>ROUND((3307*$T$1),0)*1.05</f>
        <v>3472.3500000000004</v>
      </c>
      <c r="R1579" s="33"/>
      <c r="S1579" s="33"/>
      <c r="T1579" s="33"/>
      <c r="U1579" s="33"/>
    </row>
    <row r="1580" spans="1:21" ht="15" customHeight="1" x14ac:dyDescent="0.3">
      <c r="A1580" s="42"/>
      <c r="B1580" s="43" t="s">
        <v>910</v>
      </c>
      <c r="C1580" s="44" t="s">
        <v>45</v>
      </c>
      <c r="D1580" s="47">
        <v>1.1000000000000001</v>
      </c>
      <c r="E1580" s="46" t="s">
        <v>47</v>
      </c>
      <c r="F1580" s="47">
        <v>0.86</v>
      </c>
      <c r="G1580" s="46" t="s">
        <v>48</v>
      </c>
      <c r="H1580" s="47">
        <v>0.98</v>
      </c>
      <c r="I1580" s="48">
        <v>5</v>
      </c>
      <c r="J1580" s="49">
        <f>ROUND((2906*$T$1),0)*1.05</f>
        <v>3051.3</v>
      </c>
      <c r="K1580" s="49">
        <f>ROUND((3091*$T$1),0)*1.05</f>
        <v>3245.55</v>
      </c>
      <c r="L1580" s="49">
        <f>ROUND((3156*$T$1),0)*1.05</f>
        <v>3313.8</v>
      </c>
      <c r="M1580" s="49">
        <f>ROUND((3221*$T$1),0)*1.05</f>
        <v>3382.05</v>
      </c>
      <c r="N1580" s="49">
        <f>ROUND((3285*$T$1),0)*1.05</f>
        <v>3449.25</v>
      </c>
      <c r="O1580" s="49">
        <f>ROUND((3351*$T$1),0)*1.05</f>
        <v>3518.55</v>
      </c>
      <c r="P1580" s="49">
        <f>ROUND((3417*$T$1),0)*1.05</f>
        <v>3587.8500000000004</v>
      </c>
      <c r="Q1580" s="49">
        <f>ROUND((3479*$T$1),0)*1.05</f>
        <v>3652.9500000000003</v>
      </c>
      <c r="R1580" s="33"/>
      <c r="S1580" s="33"/>
      <c r="T1580" s="33"/>
      <c r="U1580" s="33"/>
    </row>
    <row r="1581" spans="1:21" ht="15" customHeight="1" x14ac:dyDescent="0.3">
      <c r="A1581" s="42"/>
      <c r="B1581" s="43" t="s">
        <v>911</v>
      </c>
      <c r="C1581" s="44" t="s">
        <v>45</v>
      </c>
      <c r="D1581" s="47">
        <v>1.2</v>
      </c>
      <c r="E1581" s="46" t="s">
        <v>47</v>
      </c>
      <c r="F1581" s="47">
        <v>0.86</v>
      </c>
      <c r="G1581" s="46" t="s">
        <v>48</v>
      </c>
      <c r="H1581" s="47">
        <v>0.98</v>
      </c>
      <c r="I1581" s="48">
        <v>5.5</v>
      </c>
      <c r="J1581" s="49">
        <f>ROUND((3059*$T$1),0)*1.05</f>
        <v>3211.9500000000003</v>
      </c>
      <c r="K1581" s="49">
        <f>ROUND((3254*$T$1),0)*1.05</f>
        <v>3416.7000000000003</v>
      </c>
      <c r="L1581" s="49">
        <f>ROUND((3322*$T$1),0)*1.05</f>
        <v>3488.1000000000004</v>
      </c>
      <c r="M1581" s="49">
        <f>ROUND((3390*$T$1),0)*1.05</f>
        <v>3559.5</v>
      </c>
      <c r="N1581" s="49">
        <f>ROUND((3459*$T$1),0)*1.05</f>
        <v>3631.9500000000003</v>
      </c>
      <c r="O1581" s="49">
        <f>ROUND((3526*$T$1),0)*1.05</f>
        <v>3702.3</v>
      </c>
      <c r="P1581" s="49">
        <f>ROUND((3594*$T$1),0)*1.05</f>
        <v>3773.7000000000003</v>
      </c>
      <c r="Q1581" s="49">
        <f>ROUND((3662*$T$1),0)*1.05</f>
        <v>3845.1000000000004</v>
      </c>
      <c r="R1581" s="33"/>
      <c r="S1581" s="33"/>
      <c r="T1581" s="33"/>
      <c r="U1581" s="33"/>
    </row>
    <row r="1582" spans="1:21" ht="15" customHeight="1" x14ac:dyDescent="0.3">
      <c r="A1582" s="42"/>
      <c r="B1582" s="43" t="s">
        <v>912</v>
      </c>
      <c r="C1582" s="44" t="s">
        <v>45</v>
      </c>
      <c r="D1582" s="47">
        <v>1.3</v>
      </c>
      <c r="E1582" s="46" t="s">
        <v>47</v>
      </c>
      <c r="F1582" s="47">
        <v>0.86</v>
      </c>
      <c r="G1582" s="46" t="s">
        <v>48</v>
      </c>
      <c r="H1582" s="47">
        <v>0.98</v>
      </c>
      <c r="I1582" s="48">
        <v>6</v>
      </c>
      <c r="J1582" s="49">
        <f>ROUND((3219*$T$1),0)*1.05</f>
        <v>3379.9500000000003</v>
      </c>
      <c r="K1582" s="49">
        <f>ROUND((3425*$T$1),0)*1.05</f>
        <v>3596.25</v>
      </c>
      <c r="L1582" s="49">
        <f>ROUND((3497*$T$1),0)*1.05</f>
        <v>3671.8500000000004</v>
      </c>
      <c r="M1582" s="49">
        <f>ROUND((3569*$T$1),0)*1.05</f>
        <v>3747.4500000000003</v>
      </c>
      <c r="N1582" s="49">
        <f>ROUND((3641*$T$1),0)*1.05</f>
        <v>3823.05</v>
      </c>
      <c r="O1582" s="49">
        <f>ROUND((3713*$T$1),0)*1.05</f>
        <v>3898.65</v>
      </c>
      <c r="P1582" s="49">
        <f>ROUND((3785*$T$1),0)*1.05</f>
        <v>3974.25</v>
      </c>
      <c r="Q1582" s="49">
        <f>ROUND((3857*$T$1),0)*1.05</f>
        <v>4049.8500000000004</v>
      </c>
      <c r="R1582" s="33"/>
      <c r="S1582" s="33"/>
      <c r="T1582" s="33"/>
      <c r="U1582" s="33"/>
    </row>
    <row r="1583" spans="1:21" ht="15" customHeight="1" x14ac:dyDescent="0.3">
      <c r="A1583" s="42"/>
      <c r="B1583" s="43" t="s">
        <v>913</v>
      </c>
      <c r="C1583" s="44" t="s">
        <v>45</v>
      </c>
      <c r="D1583" s="47">
        <v>1.4</v>
      </c>
      <c r="E1583" s="46" t="s">
        <v>47</v>
      </c>
      <c r="F1583" s="47">
        <v>0.86</v>
      </c>
      <c r="G1583" s="46" t="s">
        <v>48</v>
      </c>
      <c r="H1583" s="47">
        <v>0.98</v>
      </c>
      <c r="I1583" s="48">
        <v>6.5</v>
      </c>
      <c r="J1583" s="49">
        <f>ROUND((3380*$T$1),0)*1.05</f>
        <v>3549</v>
      </c>
      <c r="K1583" s="49">
        <f>ROUND((3596*$T$1),0)*1.05</f>
        <v>3775.8</v>
      </c>
      <c r="L1583" s="49">
        <f>ROUND((3671*$T$1),0)*1.05</f>
        <v>3854.55</v>
      </c>
      <c r="M1583" s="49">
        <f>ROUND((3747*$T$1),0)*1.05</f>
        <v>3934.3500000000004</v>
      </c>
      <c r="N1583" s="49">
        <f>ROUND((3823*$T$1),0)*1.05</f>
        <v>4014.15</v>
      </c>
      <c r="O1583" s="49">
        <f>ROUND((3898*$T$1),0)*1.05</f>
        <v>4092.9</v>
      </c>
      <c r="P1583" s="49">
        <f>ROUND((3973*$T$1),0)*1.05</f>
        <v>4171.6500000000005</v>
      </c>
      <c r="Q1583" s="49">
        <f>ROUND((4048*$T$1),0)*1.05</f>
        <v>4250.4000000000005</v>
      </c>
      <c r="R1583" s="33"/>
      <c r="S1583" s="33"/>
      <c r="T1583" s="33"/>
      <c r="U1583" s="33"/>
    </row>
    <row r="1584" spans="1:21" ht="15" customHeight="1" x14ac:dyDescent="0.3">
      <c r="A1584" s="42"/>
      <c r="B1584" s="43"/>
      <c r="C1584" s="44"/>
      <c r="D1584" s="47"/>
      <c r="E1584" s="46"/>
      <c r="F1584" s="47"/>
      <c r="G1584" s="46"/>
      <c r="H1584" s="47"/>
      <c r="I1584" s="48"/>
      <c r="J1584" s="49"/>
      <c r="K1584" s="49"/>
      <c r="L1584" s="49"/>
      <c r="M1584" s="49"/>
      <c r="N1584" s="49"/>
      <c r="O1584" s="49"/>
      <c r="P1584" s="49"/>
      <c r="Q1584" s="49"/>
      <c r="R1584" s="33"/>
      <c r="S1584" s="33"/>
      <c r="T1584" s="33"/>
      <c r="U1584" s="33"/>
    </row>
    <row r="1585" spans="1:21" ht="15" customHeight="1" x14ac:dyDescent="0.3">
      <c r="A1585" s="42"/>
      <c r="B1585" s="43" t="s">
        <v>914</v>
      </c>
      <c r="C1585" s="44" t="s">
        <v>45</v>
      </c>
      <c r="D1585" s="47">
        <v>0.8</v>
      </c>
      <c r="E1585" s="46" t="s">
        <v>47</v>
      </c>
      <c r="F1585" s="47">
        <v>0.86</v>
      </c>
      <c r="G1585" s="46" t="s">
        <v>48</v>
      </c>
      <c r="H1585" s="47">
        <v>0.98</v>
      </c>
      <c r="I1585" s="48">
        <v>4</v>
      </c>
      <c r="J1585" s="49">
        <f>ROUND((2550*$T$1),0)*1.05</f>
        <v>2677.5</v>
      </c>
      <c r="K1585" s="49">
        <f>ROUND((2612*$T$1),0)*1.05</f>
        <v>2742.6</v>
      </c>
      <c r="L1585" s="49">
        <f>ROUND((2674*$T$1),0)*1.05</f>
        <v>2807.7000000000003</v>
      </c>
      <c r="M1585" s="49">
        <f>ROUND((2736*$T$1),0)*1.05</f>
        <v>2872.8</v>
      </c>
      <c r="N1585" s="49">
        <f>ROUND((2798*$T$1),0)*1.05</f>
        <v>2937.9</v>
      </c>
      <c r="O1585" s="49">
        <f>ROUND((2860*$T$1),0)*1.05</f>
        <v>3003</v>
      </c>
      <c r="P1585" s="49">
        <f>ROUND((2922*$T$1),0)*1.05</f>
        <v>3068.1</v>
      </c>
      <c r="Q1585" s="49">
        <f>ROUND((2984*$T$1),0)*1.05</f>
        <v>3133.2000000000003</v>
      </c>
      <c r="R1585" s="33"/>
      <c r="S1585" s="33"/>
      <c r="T1585" s="33"/>
      <c r="U1585" s="33"/>
    </row>
    <row r="1586" spans="1:21" ht="15" customHeight="1" x14ac:dyDescent="0.3">
      <c r="A1586" s="42"/>
      <c r="B1586" s="43" t="s">
        <v>915</v>
      </c>
      <c r="C1586" s="44" t="s">
        <v>45</v>
      </c>
      <c r="D1586" s="47">
        <v>0.9</v>
      </c>
      <c r="E1586" s="46" t="s">
        <v>47</v>
      </c>
      <c r="F1586" s="47">
        <v>0.86</v>
      </c>
      <c r="G1586" s="46" t="s">
        <v>48</v>
      </c>
      <c r="H1586" s="47">
        <v>0.98</v>
      </c>
      <c r="I1586" s="48">
        <v>4.5</v>
      </c>
      <c r="J1586" s="49">
        <f>ROUND((2610*$T$1),0)*1.05</f>
        <v>2740.5</v>
      </c>
      <c r="K1586" s="49">
        <f>ROUND((2675*$T$1),0)*1.05</f>
        <v>2808.75</v>
      </c>
      <c r="L1586" s="49">
        <f>ROUND((2740*$T$1),0)*1.05</f>
        <v>2877</v>
      </c>
      <c r="M1586" s="49">
        <f>ROUND((2805*$T$1),0)*1.05</f>
        <v>2945.25</v>
      </c>
      <c r="N1586" s="49">
        <f>ROUND((2870*$T$1),0)*1.05</f>
        <v>3013.5</v>
      </c>
      <c r="O1586" s="49">
        <f>ROUND((2935*$T$1),0)*1.05</f>
        <v>3081.75</v>
      </c>
      <c r="P1586" s="49">
        <f>ROUND((3000*$T$1),0)*1.05</f>
        <v>3150</v>
      </c>
      <c r="Q1586" s="49">
        <f>ROUND((3065*$T$1),0)*1.05</f>
        <v>3218.25</v>
      </c>
      <c r="R1586" s="33"/>
      <c r="S1586" s="33"/>
      <c r="T1586" s="33"/>
      <c r="U1586" s="33"/>
    </row>
    <row r="1587" spans="1:21" ht="15" customHeight="1" x14ac:dyDescent="0.3">
      <c r="A1587" s="42"/>
      <c r="B1587" s="43" t="s">
        <v>916</v>
      </c>
      <c r="C1587" s="44" t="s">
        <v>45</v>
      </c>
      <c r="D1587" s="47">
        <v>1</v>
      </c>
      <c r="E1587" s="46" t="s">
        <v>47</v>
      </c>
      <c r="F1587" s="47">
        <v>0.86</v>
      </c>
      <c r="G1587" s="46" t="s">
        <v>48</v>
      </c>
      <c r="H1587" s="47">
        <v>0.98</v>
      </c>
      <c r="I1587" s="48">
        <v>5</v>
      </c>
      <c r="J1587" s="49">
        <f>ROUND((2786*$T$1),0)*1.05</f>
        <v>2925.3</v>
      </c>
      <c r="K1587" s="49">
        <f>ROUND((2853*$T$1),0)*1.05</f>
        <v>2995.65</v>
      </c>
      <c r="L1587" s="49">
        <f>ROUND((2920*$T$1),0)*1.05</f>
        <v>3066</v>
      </c>
      <c r="M1587" s="49">
        <f>ROUND((2987*$T$1),0)*1.05</f>
        <v>3136.35</v>
      </c>
      <c r="N1587" s="49">
        <f>ROUND((3054*$T$1),0)*1.05</f>
        <v>3206.7000000000003</v>
      </c>
      <c r="O1587" s="49">
        <f>ROUND((3121*$T$1),0)*1.05</f>
        <v>3277.05</v>
      </c>
      <c r="P1587" s="49">
        <f>ROUND((3188*$T$1),0)*1.05</f>
        <v>3347.4</v>
      </c>
      <c r="Q1587" s="49">
        <f>ROUND((3225*$T$1),0)*1.05</f>
        <v>3386.25</v>
      </c>
      <c r="R1587" s="33"/>
      <c r="S1587" s="33"/>
      <c r="T1587" s="33"/>
      <c r="U1587" s="33"/>
    </row>
    <row r="1588" spans="1:21" ht="15" customHeight="1" x14ac:dyDescent="0.3">
      <c r="A1588" s="42"/>
      <c r="B1588" s="43" t="s">
        <v>917</v>
      </c>
      <c r="C1588" s="44" t="s">
        <v>45</v>
      </c>
      <c r="D1588" s="47">
        <v>1.1000000000000001</v>
      </c>
      <c r="E1588" s="46" t="s">
        <v>47</v>
      </c>
      <c r="F1588" s="47">
        <v>0.86</v>
      </c>
      <c r="G1588" s="46" t="s">
        <v>48</v>
      </c>
      <c r="H1588" s="47">
        <v>0.98</v>
      </c>
      <c r="I1588" s="48">
        <v>5.5</v>
      </c>
      <c r="J1588" s="49">
        <f>ROUND((2950*$T$1),0)*1.05</f>
        <v>3097.5</v>
      </c>
      <c r="K1588" s="49">
        <f>ROUND((3425*$T$1),0)*1.05</f>
        <v>3596.25</v>
      </c>
      <c r="L1588" s="49">
        <f>ROUND((3497*$T$1),0)*1.05</f>
        <v>3671.8500000000004</v>
      </c>
      <c r="M1588" s="49">
        <f>ROUND((3569*$T$1),0)*1.05</f>
        <v>3747.4500000000003</v>
      </c>
      <c r="N1588" s="49">
        <f>ROUND((3641*$T$1),0)*1.05</f>
        <v>3823.05</v>
      </c>
      <c r="O1588" s="49">
        <f>ROUND((3713*$T$1),0)*1.05</f>
        <v>3898.65</v>
      </c>
      <c r="P1588" s="49">
        <f>ROUND((3785*$T$1),0)*1.05</f>
        <v>3974.25</v>
      </c>
      <c r="Q1588" s="49">
        <f>ROUND((3857*$T$1),0)*1.05</f>
        <v>4049.8500000000004</v>
      </c>
      <c r="R1588" s="33"/>
      <c r="S1588" s="33"/>
      <c r="T1588" s="33"/>
      <c r="U1588" s="33"/>
    </row>
    <row r="1589" spans="1:21" ht="15" customHeight="1" x14ac:dyDescent="0.3">
      <c r="A1589" s="42"/>
      <c r="B1589" s="43" t="s">
        <v>918</v>
      </c>
      <c r="C1589" s="44" t="s">
        <v>45</v>
      </c>
      <c r="D1589" s="47">
        <v>1.2</v>
      </c>
      <c r="E1589" s="46" t="s">
        <v>47</v>
      </c>
      <c r="F1589" s="47">
        <v>0.86</v>
      </c>
      <c r="G1589" s="46" t="s">
        <v>48</v>
      </c>
      <c r="H1589" s="47">
        <v>0.98</v>
      </c>
      <c r="I1589" s="48">
        <v>6</v>
      </c>
      <c r="J1589" s="49">
        <f>ROUND((3015*$T$1),0)*1.05</f>
        <v>3165.75</v>
      </c>
      <c r="K1589" s="49">
        <f>ROUND((3596*$T$1),0)*1.05</f>
        <v>3775.8</v>
      </c>
      <c r="L1589" s="49">
        <f>ROUND((3672*$T$1),0)*1.05</f>
        <v>3855.6000000000004</v>
      </c>
      <c r="M1589" s="49">
        <f>ROUND((3748*$T$1),0)*1.05</f>
        <v>3935.4</v>
      </c>
      <c r="N1589" s="49">
        <f>ROUND((3824*$T$1),0)*1.05</f>
        <v>4015.2000000000003</v>
      </c>
      <c r="O1589" s="49">
        <f>ROUND((3900*$T$1),0)*1.05</f>
        <v>4095</v>
      </c>
      <c r="P1589" s="49">
        <f>ROUND((3976*$T$1),0)*1.05</f>
        <v>4174.8</v>
      </c>
      <c r="Q1589" s="49">
        <f>ROUND((4052*$T$1),0)*1.05</f>
        <v>4254.6000000000004</v>
      </c>
      <c r="R1589" s="33"/>
      <c r="S1589" s="33"/>
      <c r="T1589" s="33"/>
      <c r="U1589" s="33"/>
    </row>
    <row r="1590" spans="1:21" ht="15" customHeight="1" x14ac:dyDescent="0.3">
      <c r="A1590" s="42"/>
      <c r="B1590" s="86"/>
      <c r="C1590" s="119"/>
      <c r="D1590" s="86"/>
      <c r="E1590" s="86"/>
      <c r="F1590" s="86"/>
      <c r="G1590" s="86"/>
      <c r="H1590" s="86"/>
      <c r="I1590" s="55"/>
      <c r="J1590" s="56"/>
      <c r="K1590" s="56"/>
      <c r="L1590" s="56"/>
      <c r="M1590" s="56"/>
      <c r="N1590" s="56"/>
      <c r="O1590" s="56"/>
      <c r="P1590" s="56"/>
      <c r="Q1590" s="56"/>
    </row>
    <row r="1591" spans="1:21" ht="15" customHeight="1" x14ac:dyDescent="0.3">
      <c r="A1591" s="42"/>
      <c r="B1591" s="86"/>
      <c r="C1591" s="119"/>
      <c r="D1591" s="86"/>
      <c r="E1591" s="86"/>
      <c r="F1591" s="86"/>
      <c r="G1591" s="86"/>
      <c r="H1591" s="86"/>
      <c r="I1591" s="55"/>
      <c r="J1591" s="56"/>
      <c r="K1591" s="56"/>
      <c r="L1591" s="56"/>
      <c r="M1591" s="87" t="s">
        <v>134</v>
      </c>
      <c r="N1591" s="56"/>
      <c r="O1591" s="56"/>
      <c r="P1591" s="56"/>
      <c r="Q1591" s="56"/>
    </row>
    <row r="1592" spans="1:21" ht="15" customHeight="1" x14ac:dyDescent="0.3">
      <c r="A1592" s="42"/>
      <c r="B1592" s="59" t="s">
        <v>511</v>
      </c>
      <c r="C1592" s="60"/>
      <c r="D1592" s="59"/>
      <c r="E1592" s="59"/>
      <c r="F1592" s="59"/>
      <c r="G1592" s="59"/>
      <c r="H1592" s="59"/>
      <c r="I1592" s="61"/>
      <c r="J1592" s="62"/>
      <c r="K1592" s="62"/>
      <c r="L1592" s="62"/>
      <c r="M1592" s="62"/>
      <c r="N1592" s="62"/>
      <c r="O1592" s="62"/>
      <c r="P1592" s="62"/>
      <c r="Q1592" s="62"/>
    </row>
    <row r="1594" spans="1:21" ht="29.1" customHeight="1" x14ac:dyDescent="0.25">
      <c r="A1594" s="127" t="s">
        <v>919</v>
      </c>
      <c r="B1594" s="77"/>
      <c r="C1594" s="187" t="s">
        <v>41</v>
      </c>
      <c r="D1594" s="187"/>
      <c r="E1594" s="187"/>
      <c r="F1594" s="187"/>
      <c r="G1594" s="187"/>
      <c r="H1594" s="187"/>
      <c r="I1594" s="78" t="s">
        <v>42</v>
      </c>
      <c r="J1594" s="41" t="s">
        <v>43</v>
      </c>
      <c r="K1594" s="41">
        <v>1000</v>
      </c>
      <c r="L1594" s="41">
        <v>2000</v>
      </c>
      <c r="M1594" s="41">
        <v>3000</v>
      </c>
      <c r="N1594" s="41">
        <v>4000</v>
      </c>
      <c r="O1594" s="41">
        <v>5000</v>
      </c>
      <c r="P1594" s="41">
        <v>6000</v>
      </c>
      <c r="Q1594" s="41">
        <v>7000</v>
      </c>
    </row>
    <row r="1595" spans="1:21" ht="15" customHeight="1" x14ac:dyDescent="0.3">
      <c r="A1595" s="42"/>
      <c r="B1595" s="43" t="s">
        <v>920</v>
      </c>
      <c r="C1595" s="44" t="s">
        <v>45</v>
      </c>
      <c r="D1595" s="47">
        <v>1.8</v>
      </c>
      <c r="E1595" s="46" t="s">
        <v>47</v>
      </c>
      <c r="F1595" s="47">
        <v>0.95</v>
      </c>
      <c r="G1595" s="46" t="s">
        <v>48</v>
      </c>
      <c r="H1595" s="47">
        <v>0.98</v>
      </c>
      <c r="I1595" s="48">
        <v>10</v>
      </c>
      <c r="J1595" s="49">
        <f>ROUND((2476*$T$1),0)*1.05</f>
        <v>2599.8000000000002</v>
      </c>
      <c r="K1595" s="49">
        <f>ROUND((2633*$T$1),0)*1.05</f>
        <v>2764.65</v>
      </c>
      <c r="L1595" s="49">
        <f>ROUND((2783*$T$1),0)*1.05</f>
        <v>2922.15</v>
      </c>
      <c r="M1595" s="49">
        <f>ROUND((2931*$T$1),0)*1.05</f>
        <v>3077.55</v>
      </c>
      <c r="N1595" s="49">
        <f>ROUND((3004*$T$1),0)*1.05</f>
        <v>3154.2000000000003</v>
      </c>
      <c r="O1595" s="49">
        <f>ROUND((3229*$T$1),0)*1.05</f>
        <v>3390.4500000000003</v>
      </c>
      <c r="P1595" s="49">
        <f>ROUND((3377*$T$1),0)*1.05</f>
        <v>3545.8500000000004</v>
      </c>
      <c r="Q1595" s="49">
        <f>ROUND((3525*$T$1),0)*1.05</f>
        <v>3701.25</v>
      </c>
      <c r="R1595" s="33"/>
      <c r="S1595" s="33"/>
      <c r="T1595" s="33"/>
      <c r="U1595" s="33"/>
    </row>
    <row r="1596" spans="1:21" ht="15" customHeight="1" x14ac:dyDescent="0.3">
      <c r="A1596" s="42"/>
      <c r="B1596" s="43" t="s">
        <v>921</v>
      </c>
      <c r="C1596" s="44" t="s">
        <v>45</v>
      </c>
      <c r="D1596" s="47">
        <v>2</v>
      </c>
      <c r="E1596" s="46" t="s">
        <v>47</v>
      </c>
      <c r="F1596" s="47">
        <v>0.95</v>
      </c>
      <c r="G1596" s="46" t="s">
        <v>48</v>
      </c>
      <c r="H1596" s="47">
        <v>0.98</v>
      </c>
      <c r="I1596" s="48">
        <v>11</v>
      </c>
      <c r="J1596" s="49">
        <f>ROUND((2600*$T$1),0)*1.05</f>
        <v>2730</v>
      </c>
      <c r="K1596" s="49">
        <f>ROUND((2766*$T$1),0)*1.05</f>
        <v>2904.3</v>
      </c>
      <c r="L1596" s="49">
        <f>ROUND((2921*$T$1),0)*1.05</f>
        <v>3067.05</v>
      </c>
      <c r="M1596" s="49">
        <f>ROUND((3078*$T$1),0)*1.05</f>
        <v>3231.9</v>
      </c>
      <c r="N1596" s="49">
        <f>ROUND((3235*$T$1),0)*1.05</f>
        <v>3396.75</v>
      </c>
      <c r="O1596" s="49">
        <f>ROUND((3391*$T$1),0)*1.05</f>
        <v>3560.55</v>
      </c>
      <c r="P1596" s="49">
        <f>ROUND((3548*$T$1),0)*1.05</f>
        <v>3725.4</v>
      </c>
      <c r="Q1596" s="49">
        <f>ROUND((3705*$T$1),0)*1.05</f>
        <v>3890.25</v>
      </c>
      <c r="R1596" s="33"/>
      <c r="S1596" s="33"/>
      <c r="T1596" s="33"/>
      <c r="U1596" s="33"/>
    </row>
    <row r="1597" spans="1:21" ht="15" customHeight="1" x14ac:dyDescent="0.3">
      <c r="A1597" s="42"/>
      <c r="B1597" s="43" t="s">
        <v>922</v>
      </c>
      <c r="C1597" s="44" t="s">
        <v>45</v>
      </c>
      <c r="D1597" s="47">
        <v>2.2000000000000002</v>
      </c>
      <c r="E1597" s="46" t="s">
        <v>47</v>
      </c>
      <c r="F1597" s="47">
        <v>0.95</v>
      </c>
      <c r="G1597" s="46" t="s">
        <v>48</v>
      </c>
      <c r="H1597" s="47">
        <v>0.98</v>
      </c>
      <c r="I1597" s="48">
        <v>12</v>
      </c>
      <c r="J1597" s="49">
        <f>ROUND((2730*$T$1),0)*1.05</f>
        <v>2866.5</v>
      </c>
      <c r="K1597" s="49">
        <f>ROUND((2904*$T$1),0)*1.05</f>
        <v>3049.2000000000003</v>
      </c>
      <c r="L1597" s="49">
        <f>ROUND((3067*$T$1),0)*1.05</f>
        <v>3220.35</v>
      </c>
      <c r="M1597" s="49">
        <f>ROUND((3232*$T$1),0)*1.05</f>
        <v>3393.6000000000004</v>
      </c>
      <c r="N1597" s="49">
        <f>ROUND((3396*$T$1),0)*1.05</f>
        <v>3565.8</v>
      </c>
      <c r="O1597" s="49">
        <f>ROUND((3560*$T$1),0)*1.05</f>
        <v>3738</v>
      </c>
      <c r="P1597" s="49">
        <f>ROUND((3725*$T$1),0)*1.05</f>
        <v>3911.25</v>
      </c>
      <c r="Q1597" s="49">
        <f>ROUND((3890*$T$1),0)*1.05</f>
        <v>4084.5</v>
      </c>
      <c r="R1597" s="33"/>
      <c r="S1597" s="33"/>
      <c r="T1597" s="33"/>
      <c r="U1597" s="33"/>
    </row>
    <row r="1598" spans="1:21" ht="15" customHeight="1" x14ac:dyDescent="0.3">
      <c r="A1598" s="42"/>
      <c r="B1598" s="43" t="s">
        <v>923</v>
      </c>
      <c r="C1598" s="44" t="s">
        <v>45</v>
      </c>
      <c r="D1598" s="47">
        <v>2.4</v>
      </c>
      <c r="E1598" s="46" t="s">
        <v>47</v>
      </c>
      <c r="F1598" s="47">
        <v>0.95</v>
      </c>
      <c r="G1598" s="46" t="s">
        <v>48</v>
      </c>
      <c r="H1598" s="47">
        <v>0.98</v>
      </c>
      <c r="I1598" s="48">
        <v>13</v>
      </c>
      <c r="J1598" s="49">
        <f>ROUND((2867*$T$1),0)*1.05</f>
        <v>3010.35</v>
      </c>
      <c r="K1598" s="49">
        <f>ROUND((3049*$T$1),0)*1.05</f>
        <v>3201.4500000000003</v>
      </c>
      <c r="L1598" s="49">
        <f>ROUND((3221*$T$1),0)*1.05</f>
        <v>3382.05</v>
      </c>
      <c r="M1598" s="49">
        <f>ROUND((3394*$T$1),0)*1.05</f>
        <v>3563.7000000000003</v>
      </c>
      <c r="N1598" s="49">
        <f>ROUND((3566*$T$1),0)*1.05</f>
        <v>3744.3</v>
      </c>
      <c r="O1598" s="49">
        <f>ROUND((3738*$T$1),0)*1.05</f>
        <v>3924.9</v>
      </c>
      <c r="P1598" s="49">
        <f>ROUND((3910*$T$1),0)*1.05</f>
        <v>4105.5</v>
      </c>
      <c r="Q1598" s="49">
        <f>ROUND((4082*$T$1),0)*1.05</f>
        <v>4286.1000000000004</v>
      </c>
      <c r="R1598" s="33"/>
      <c r="S1598" s="33"/>
      <c r="T1598" s="33"/>
      <c r="U1598" s="33"/>
    </row>
    <row r="1599" spans="1:21" ht="15" customHeight="1" x14ac:dyDescent="0.3">
      <c r="A1599" s="42"/>
      <c r="B1599" s="43" t="s">
        <v>924</v>
      </c>
      <c r="C1599" s="44" t="s">
        <v>45</v>
      </c>
      <c r="D1599" s="47">
        <v>2.6</v>
      </c>
      <c r="E1599" s="46" t="s">
        <v>47</v>
      </c>
      <c r="F1599" s="47">
        <v>0.95</v>
      </c>
      <c r="G1599" s="46" t="s">
        <v>48</v>
      </c>
      <c r="H1599" s="47">
        <v>0.98</v>
      </c>
      <c r="I1599" s="48">
        <v>13.5</v>
      </c>
      <c r="J1599" s="49">
        <f>ROUND((3011*$T$1),0)*1.05</f>
        <v>3161.55</v>
      </c>
      <c r="K1599" s="49">
        <f>ROUND((3201*$T$1),0)*1.05</f>
        <v>3361.05</v>
      </c>
      <c r="L1599" s="49">
        <f>ROUND((3382*$T$1),0)*1.05</f>
        <v>3551.1000000000004</v>
      </c>
      <c r="M1599" s="49">
        <f>ROUND((3563*$T$1),0)*1.05</f>
        <v>3741.15</v>
      </c>
      <c r="N1599" s="49">
        <f>ROUND((3745*$T$1),0)*1.05</f>
        <v>3932.25</v>
      </c>
      <c r="O1599" s="49">
        <f>ROUND((3925*$T$1),0)*1.05</f>
        <v>4121.25</v>
      </c>
      <c r="P1599" s="49">
        <f>ROUND((4107*$T$1),0)*1.05</f>
        <v>4312.3500000000004</v>
      </c>
      <c r="Q1599" s="49">
        <f>ROUND((4289*$T$1),0)*1.05</f>
        <v>4503.45</v>
      </c>
      <c r="R1599" s="33"/>
      <c r="S1599" s="33"/>
      <c r="T1599" s="33"/>
      <c r="U1599" s="33"/>
    </row>
    <row r="1600" spans="1:21" ht="15" customHeight="1" x14ac:dyDescent="0.3">
      <c r="A1600" s="42"/>
      <c r="B1600" s="43"/>
      <c r="C1600" s="44"/>
      <c r="D1600" s="47"/>
      <c r="E1600" s="46"/>
      <c r="F1600" s="47"/>
      <c r="G1600" s="46"/>
      <c r="H1600" s="47"/>
      <c r="I1600" s="48"/>
      <c r="J1600" s="49"/>
      <c r="K1600" s="49"/>
      <c r="L1600" s="49"/>
      <c r="M1600" s="49"/>
      <c r="N1600" s="49"/>
      <c r="O1600" s="49"/>
      <c r="P1600" s="49"/>
      <c r="Q1600" s="49"/>
      <c r="R1600" s="33"/>
      <c r="S1600" s="33"/>
      <c r="T1600" s="33"/>
      <c r="U1600" s="33"/>
    </row>
    <row r="1601" spans="1:21" ht="15" customHeight="1" x14ac:dyDescent="0.3">
      <c r="A1601" s="42"/>
      <c r="B1601" s="43" t="s">
        <v>925</v>
      </c>
      <c r="C1601" s="44" t="s">
        <v>45</v>
      </c>
      <c r="D1601" s="47">
        <v>1</v>
      </c>
      <c r="E1601" s="46" t="s">
        <v>47</v>
      </c>
      <c r="F1601" s="47">
        <v>1.6</v>
      </c>
      <c r="G1601" s="46" t="s">
        <v>48</v>
      </c>
      <c r="H1601" s="47">
        <v>0.98</v>
      </c>
      <c r="I1601" s="48">
        <v>7</v>
      </c>
      <c r="J1601" s="49">
        <f>ROUND((2232*$T$1),0)*1.05</f>
        <v>2343.6</v>
      </c>
      <c r="K1601" s="49">
        <f>ROUND((2374*$T$1),0)*1.05</f>
        <v>2492.7000000000003</v>
      </c>
      <c r="L1601" s="49">
        <f>ROUND((2517*$T$1),0)*1.05</f>
        <v>2642.85</v>
      </c>
      <c r="M1601" s="49">
        <f>ROUND((2656*$T$1),0)*1.05</f>
        <v>2788.8</v>
      </c>
      <c r="N1601" s="49">
        <f>ROUND((2799*$T$1),0)*1.05</f>
        <v>2938.9500000000003</v>
      </c>
      <c r="O1601" s="49">
        <f>ROUND((2940*$T$1),0)*1.05</f>
        <v>3087</v>
      </c>
      <c r="P1601" s="49">
        <f>ROUND((3083*$T$1),0)*1.05</f>
        <v>3237.15</v>
      </c>
      <c r="Q1601" s="49">
        <f>ROUND((3226*$T$1),0)*1.05</f>
        <v>3387.3</v>
      </c>
      <c r="R1601" s="33"/>
      <c r="S1601" s="33"/>
      <c r="T1601" s="33"/>
      <c r="U1601" s="33"/>
    </row>
    <row r="1602" spans="1:21" ht="15" customHeight="1" x14ac:dyDescent="0.3">
      <c r="A1602" s="42"/>
      <c r="B1602" s="43" t="s">
        <v>926</v>
      </c>
      <c r="C1602" s="44" t="s">
        <v>45</v>
      </c>
      <c r="D1602" s="47">
        <v>1.1000000000000001</v>
      </c>
      <c r="E1602" s="46" t="s">
        <v>47</v>
      </c>
      <c r="F1602" s="47">
        <v>1.6</v>
      </c>
      <c r="G1602" s="46" t="s">
        <v>48</v>
      </c>
      <c r="H1602" s="47">
        <v>0.98</v>
      </c>
      <c r="I1602" s="48">
        <v>7.5</v>
      </c>
      <c r="J1602" s="49">
        <f>ROUND((2349*$T$1),0)*1.05</f>
        <v>2466.4500000000003</v>
      </c>
      <c r="K1602" s="49">
        <f>ROUND((2499*$T$1),0)*1.05</f>
        <v>2623.9500000000003</v>
      </c>
      <c r="L1602" s="49">
        <f>ROUND((2649*$T$1),0)*1.05</f>
        <v>2781.4500000000003</v>
      </c>
      <c r="M1602" s="49">
        <f>ROUND((2797*$T$1),0)*1.05</f>
        <v>2936.85</v>
      </c>
      <c r="N1602" s="49">
        <f>ROUND((2946*$T$1),0)*1.05</f>
        <v>3093.3</v>
      </c>
      <c r="O1602" s="49">
        <f>ROUND((3095*$T$1),0)*1.05</f>
        <v>3249.75</v>
      </c>
      <c r="P1602" s="49">
        <f>ROUND((3244*$T$1),0)*1.05</f>
        <v>3406.2000000000003</v>
      </c>
      <c r="Q1602" s="49">
        <f>ROUND((3383*$T$1),0)*1.05</f>
        <v>3552.15</v>
      </c>
      <c r="R1602" s="33"/>
      <c r="S1602" s="33"/>
      <c r="T1602" s="33"/>
      <c r="U1602" s="33"/>
    </row>
    <row r="1603" spans="1:21" ht="15" customHeight="1" x14ac:dyDescent="0.3">
      <c r="A1603" s="42"/>
      <c r="B1603" s="43" t="s">
        <v>927</v>
      </c>
      <c r="C1603" s="44" t="s">
        <v>45</v>
      </c>
      <c r="D1603" s="47">
        <v>1.2</v>
      </c>
      <c r="E1603" s="46" t="s">
        <v>47</v>
      </c>
      <c r="F1603" s="47">
        <v>1.6</v>
      </c>
      <c r="G1603" s="46" t="s">
        <v>48</v>
      </c>
      <c r="H1603" s="47">
        <v>0.98</v>
      </c>
      <c r="I1603" s="48">
        <v>8</v>
      </c>
      <c r="J1603" s="49">
        <f>ROUND((2473*$T$1),0)*1.05</f>
        <v>2596.65</v>
      </c>
      <c r="K1603" s="49">
        <f>ROUND((2631*$T$1),0)*1.05</f>
        <v>2762.55</v>
      </c>
      <c r="L1603" s="49">
        <f>ROUND((2788*$T$1),0)*1.05</f>
        <v>2927.4</v>
      </c>
      <c r="M1603" s="49">
        <f>ROUND((2944*$T$1),0)*1.05</f>
        <v>3091.2000000000003</v>
      </c>
      <c r="N1603" s="49">
        <f>ROUND((3101*$T$1),0)*1.05</f>
        <v>3256.05</v>
      </c>
      <c r="O1603" s="49">
        <f>ROUND((3257*$T$1),0)*1.05</f>
        <v>3419.8500000000004</v>
      </c>
      <c r="P1603" s="49">
        <f>ROUND((3413*$T$1),0)*1.05</f>
        <v>3583.65</v>
      </c>
      <c r="Q1603" s="49">
        <f>ROUND((3569*$T$1),0)*1.05</f>
        <v>3747.4500000000003</v>
      </c>
      <c r="R1603" s="33"/>
      <c r="S1603" s="33"/>
      <c r="T1603" s="33"/>
      <c r="U1603" s="33"/>
    </row>
    <row r="1604" spans="1:21" ht="15" customHeight="1" x14ac:dyDescent="0.3">
      <c r="A1604" s="42"/>
      <c r="B1604" s="43" t="s">
        <v>928</v>
      </c>
      <c r="C1604" s="44" t="s">
        <v>45</v>
      </c>
      <c r="D1604" s="47">
        <v>1.3</v>
      </c>
      <c r="E1604" s="46" t="s">
        <v>47</v>
      </c>
      <c r="F1604" s="47">
        <v>1.6</v>
      </c>
      <c r="G1604" s="46" t="s">
        <v>48</v>
      </c>
      <c r="H1604" s="47">
        <v>0.98</v>
      </c>
      <c r="I1604" s="48">
        <v>9</v>
      </c>
      <c r="J1604" s="49">
        <f>ROUND((2596*$T$1),0)*1.05</f>
        <v>2725.8</v>
      </c>
      <c r="K1604" s="49">
        <f>ROUND((2762*$T$1),0)*1.05</f>
        <v>2900.1</v>
      </c>
      <c r="L1604" s="49">
        <f>ROUND((2927*$T$1),0)*1.05</f>
        <v>3073.35</v>
      </c>
      <c r="M1604" s="49">
        <f>ROUND((3091*$T$1),0)*1.05</f>
        <v>3245.55</v>
      </c>
      <c r="N1604" s="49">
        <f>ROUND((3256*$T$1),0)*1.05</f>
        <v>3418.8</v>
      </c>
      <c r="O1604" s="49">
        <f>ROUND((3419*$T$1),0)*1.05</f>
        <v>3589.9500000000003</v>
      </c>
      <c r="P1604" s="49">
        <f>ROUND((3584*$T$1),0)*1.05</f>
        <v>3763.2000000000003</v>
      </c>
      <c r="Q1604" s="49">
        <f>ROUND((3749*$T$1),0)*1.05</f>
        <v>3936.4500000000003</v>
      </c>
      <c r="R1604" s="33"/>
      <c r="S1604" s="33"/>
      <c r="T1604" s="33"/>
      <c r="U1604" s="33"/>
    </row>
    <row r="1605" spans="1:21" ht="15" customHeight="1" x14ac:dyDescent="0.3">
      <c r="A1605" s="42"/>
      <c r="B1605" s="43" t="s">
        <v>929</v>
      </c>
      <c r="C1605" s="44" t="s">
        <v>45</v>
      </c>
      <c r="D1605" s="47">
        <v>1.4</v>
      </c>
      <c r="E1605" s="46" t="s">
        <v>47</v>
      </c>
      <c r="F1605" s="47">
        <v>1.6</v>
      </c>
      <c r="G1605" s="46" t="s">
        <v>48</v>
      </c>
      <c r="H1605" s="47">
        <v>0.98</v>
      </c>
      <c r="I1605" s="48">
        <v>10</v>
      </c>
      <c r="J1605" s="49">
        <f>ROUND((2726*$T$1),0)*1.05</f>
        <v>2862.3</v>
      </c>
      <c r="K1605" s="49">
        <f>ROUND((2900*$T$1),0)*1.05</f>
        <v>3045</v>
      </c>
      <c r="L1605" s="49">
        <f>ROUND((3074*$T$1),0)*1.05</f>
        <v>3227.7000000000003</v>
      </c>
      <c r="M1605" s="49">
        <f>ROUND((3246*$T$1),0)*1.05</f>
        <v>3408.3</v>
      </c>
      <c r="N1605" s="49">
        <f>ROUND((3419*$T$1),0)*1.05</f>
        <v>3589.9500000000003</v>
      </c>
      <c r="O1605" s="49">
        <f>ROUND((3590*$T$1),0)*1.05</f>
        <v>3769.5</v>
      </c>
      <c r="P1605" s="49">
        <f>ROUND((3763*$T$1),0)*1.05</f>
        <v>3951.15</v>
      </c>
      <c r="Q1605" s="49">
        <f>ROUND((3936*$T$1),0)*1.05</f>
        <v>4132.8</v>
      </c>
      <c r="R1605" s="33"/>
      <c r="S1605" s="33"/>
      <c r="T1605" s="33"/>
      <c r="U1605" s="33"/>
    </row>
    <row r="1606" spans="1:21" ht="15" customHeight="1" x14ac:dyDescent="0.3">
      <c r="A1606" s="42"/>
      <c r="B1606" s="86"/>
      <c r="C1606" s="119"/>
      <c r="D1606" s="86"/>
      <c r="E1606" s="86"/>
      <c r="F1606" s="86"/>
      <c r="G1606" s="86"/>
      <c r="H1606" s="86"/>
      <c r="I1606" s="55"/>
      <c r="J1606" s="56"/>
      <c r="K1606" s="56"/>
      <c r="L1606" s="56"/>
      <c r="M1606" s="56"/>
      <c r="N1606" s="56"/>
      <c r="O1606" s="56"/>
      <c r="P1606" s="56"/>
      <c r="Q1606" s="56"/>
    </row>
    <row r="1607" spans="1:21" ht="15" customHeight="1" x14ac:dyDescent="0.3">
      <c r="A1607" s="42"/>
      <c r="B1607" s="86"/>
      <c r="C1607" s="119"/>
      <c r="D1607" s="86"/>
      <c r="E1607" s="86"/>
      <c r="F1607" s="86"/>
      <c r="G1607" s="86"/>
      <c r="H1607" s="86"/>
      <c r="I1607" s="55"/>
      <c r="J1607" s="56"/>
      <c r="K1607" s="56"/>
      <c r="L1607" s="56"/>
      <c r="M1607" s="87" t="s">
        <v>134</v>
      </c>
      <c r="N1607" s="56"/>
      <c r="O1607" s="56"/>
      <c r="P1607" s="56"/>
      <c r="Q1607" s="56"/>
    </row>
    <row r="1608" spans="1:21" ht="15" customHeight="1" x14ac:dyDescent="0.3">
      <c r="A1608" s="42"/>
      <c r="B1608" s="59" t="s">
        <v>511</v>
      </c>
      <c r="C1608" s="60"/>
      <c r="D1608" s="59"/>
      <c r="E1608" s="59"/>
      <c r="F1608" s="59"/>
      <c r="G1608" s="59"/>
      <c r="H1608" s="59"/>
      <c r="I1608" s="61"/>
      <c r="J1608" s="62"/>
      <c r="K1608" s="62"/>
      <c r="L1608" s="62"/>
      <c r="M1608" s="62"/>
      <c r="N1608" s="62"/>
      <c r="O1608" s="62"/>
      <c r="P1608" s="62"/>
      <c r="Q1608" s="62"/>
    </row>
    <row r="1610" spans="1:21" ht="29.1" customHeight="1" x14ac:dyDescent="0.25">
      <c r="A1610" s="127" t="s">
        <v>930</v>
      </c>
      <c r="B1610" s="77"/>
      <c r="C1610" s="187" t="s">
        <v>41</v>
      </c>
      <c r="D1610" s="187"/>
      <c r="E1610" s="187"/>
      <c r="F1610" s="187"/>
      <c r="G1610" s="187"/>
      <c r="H1610" s="187"/>
      <c r="I1610" s="78" t="s">
        <v>42</v>
      </c>
      <c r="J1610" s="41" t="s">
        <v>43</v>
      </c>
      <c r="K1610" s="41">
        <v>1000</v>
      </c>
      <c r="L1610" s="41">
        <v>2000</v>
      </c>
      <c r="M1610" s="41">
        <v>3000</v>
      </c>
      <c r="N1610" s="41">
        <v>4000</v>
      </c>
      <c r="O1610" s="41">
        <v>5000</v>
      </c>
      <c r="P1610" s="41">
        <v>6000</v>
      </c>
      <c r="Q1610" s="41">
        <v>7000</v>
      </c>
    </row>
    <row r="1611" spans="1:21" ht="15" customHeight="1" x14ac:dyDescent="0.3">
      <c r="A1611" s="42"/>
      <c r="B1611" s="43" t="s">
        <v>869</v>
      </c>
      <c r="C1611" s="44" t="s">
        <v>45</v>
      </c>
      <c r="D1611" s="47">
        <v>1.4</v>
      </c>
      <c r="E1611" s="46" t="s">
        <v>47</v>
      </c>
      <c r="F1611" s="47">
        <v>1</v>
      </c>
      <c r="G1611" s="46" t="s">
        <v>48</v>
      </c>
      <c r="H1611" s="47">
        <v>0.98</v>
      </c>
      <c r="I1611" s="48">
        <v>8</v>
      </c>
      <c r="J1611" s="49">
        <f>ROUND((3177*$T$1),0)*1.05</f>
        <v>3335.8500000000004</v>
      </c>
      <c r="K1611" s="49">
        <f>ROUND((3380*$T$1),0)*1.05</f>
        <v>3549</v>
      </c>
      <c r="L1611" s="49">
        <f>ROUND((3519*$T$1),0)*1.05</f>
        <v>3694.9500000000003</v>
      </c>
      <c r="M1611" s="49">
        <f>ROUND((3658*$T$1),0)*1.05</f>
        <v>3840.9</v>
      </c>
      <c r="N1611" s="49">
        <f>ROUND((3796*$T$1),0)*1.05</f>
        <v>3985.8</v>
      </c>
      <c r="O1611" s="49">
        <f>ROUND((3936*$T$1),0)*1.05</f>
        <v>4132.8</v>
      </c>
      <c r="P1611" s="49">
        <f>ROUND((4076*$T$1),0)*1.05</f>
        <v>4279.8</v>
      </c>
      <c r="Q1611" s="49">
        <f>ROUND((4216*$T$1),0)*1.05</f>
        <v>4426.8</v>
      </c>
      <c r="R1611" s="33"/>
      <c r="S1611" s="33"/>
      <c r="T1611" s="33"/>
      <c r="U1611" s="33"/>
    </row>
    <row r="1612" spans="1:21" ht="15" customHeight="1" x14ac:dyDescent="0.3">
      <c r="A1612" s="42"/>
      <c r="B1612" s="43" t="s">
        <v>868</v>
      </c>
      <c r="C1612" s="44" t="s">
        <v>45</v>
      </c>
      <c r="D1612" s="47">
        <v>1.6</v>
      </c>
      <c r="E1612" s="46" t="s">
        <v>47</v>
      </c>
      <c r="F1612" s="47">
        <v>1</v>
      </c>
      <c r="G1612" s="46" t="s">
        <v>48</v>
      </c>
      <c r="H1612" s="47">
        <v>0.98</v>
      </c>
      <c r="I1612" s="48">
        <v>8.5</v>
      </c>
      <c r="J1612" s="49">
        <f>ROUND((3344*$T$1),0)*1.05</f>
        <v>3511.2000000000003</v>
      </c>
      <c r="K1612" s="49">
        <f>ROUND((3557*$T$1),0)*1.05</f>
        <v>3734.8500000000004</v>
      </c>
      <c r="L1612" s="49">
        <f>ROUND((3704*$T$1),0)*1.05</f>
        <v>3889.2000000000003</v>
      </c>
      <c r="M1612" s="49">
        <f>ROUND((3851*$T$1),0)*1.05</f>
        <v>4043.55</v>
      </c>
      <c r="N1612" s="49">
        <f>ROUND((3997*$T$1),0)*1.05</f>
        <v>4196.8500000000004</v>
      </c>
      <c r="O1612" s="49">
        <f>ROUND((4153*$T$1),0)*1.05</f>
        <v>4360.6500000000005</v>
      </c>
      <c r="P1612" s="49">
        <f>ROUND((4290*$T$1),0)*1.05</f>
        <v>4504.5</v>
      </c>
      <c r="Q1612" s="49">
        <f>ROUND((4437*$T$1),0)*1.05</f>
        <v>4658.8500000000004</v>
      </c>
      <c r="R1612" s="33"/>
      <c r="S1612" s="33"/>
      <c r="T1612" s="33"/>
      <c r="U1612" s="33"/>
    </row>
    <row r="1613" spans="1:21" ht="15" customHeight="1" x14ac:dyDescent="0.3">
      <c r="A1613" s="42"/>
      <c r="B1613" s="43" t="s">
        <v>867</v>
      </c>
      <c r="C1613" s="44" t="s">
        <v>45</v>
      </c>
      <c r="D1613" s="47">
        <v>1.8</v>
      </c>
      <c r="E1613" s="46" t="s">
        <v>47</v>
      </c>
      <c r="F1613" s="47">
        <v>1</v>
      </c>
      <c r="G1613" s="46" t="s">
        <v>48</v>
      </c>
      <c r="H1613" s="47">
        <v>0.98</v>
      </c>
      <c r="I1613" s="48">
        <v>9</v>
      </c>
      <c r="J1613" s="49">
        <f>ROUND((3521*$T$1),0)*1.05</f>
        <v>3697.05</v>
      </c>
      <c r="K1613" s="49">
        <f>ROUND((3744*$T$1),0)*1.05</f>
        <v>3931.2000000000003</v>
      </c>
      <c r="L1613" s="49">
        <f>ROUND((3899*$T$1),0)*1.05</f>
        <v>4093.9500000000003</v>
      </c>
      <c r="M1613" s="49">
        <f>ROUND((4054*$T$1),0)*1.05</f>
        <v>4256.7</v>
      </c>
      <c r="N1613" s="49">
        <f>ROUND((4207*$T$1),0)*1.05</f>
        <v>4417.3500000000004</v>
      </c>
      <c r="O1613" s="49">
        <f>ROUND((4361*$T$1),0)*1.05</f>
        <v>4579.05</v>
      </c>
      <c r="P1613" s="49">
        <f>ROUND((4515*$T$1),0)*1.05</f>
        <v>4740.75</v>
      </c>
      <c r="Q1613" s="49">
        <f>ROUND((4669*$T$1),0)*1.05</f>
        <v>4902.45</v>
      </c>
      <c r="R1613" s="33"/>
      <c r="S1613" s="33"/>
      <c r="T1613" s="33"/>
      <c r="U1613" s="33"/>
    </row>
    <row r="1614" spans="1:21" ht="15" customHeight="1" x14ac:dyDescent="0.3">
      <c r="A1614" s="42"/>
      <c r="B1614" s="43" t="s">
        <v>866</v>
      </c>
      <c r="C1614" s="44" t="s">
        <v>45</v>
      </c>
      <c r="D1614" s="47">
        <v>2</v>
      </c>
      <c r="E1614" s="46" t="s">
        <v>47</v>
      </c>
      <c r="F1614" s="47">
        <v>1</v>
      </c>
      <c r="G1614" s="46" t="s">
        <v>48</v>
      </c>
      <c r="H1614" s="47">
        <v>0.98</v>
      </c>
      <c r="I1614" s="48">
        <v>9.5</v>
      </c>
      <c r="J1614" s="49">
        <f>ROUND((3696*$T$1),0)*1.05</f>
        <v>3880.8</v>
      </c>
      <c r="K1614" s="49">
        <f>ROUND((3932*$T$1),0)*1.05</f>
        <v>4128.6000000000004</v>
      </c>
      <c r="L1614" s="49">
        <f>ROUND((4094*$T$1),0)*1.05</f>
        <v>4298.7</v>
      </c>
      <c r="M1614" s="49">
        <f>ROUND((4256*$T$1),0)*1.05</f>
        <v>4468.8</v>
      </c>
      <c r="N1614" s="49">
        <f>ROUND((4418*$T$1),0)*1.05</f>
        <v>4638.9000000000005</v>
      </c>
      <c r="O1614" s="49">
        <f>ROUND((4580*$T$1),0)*1.05</f>
        <v>4809</v>
      </c>
      <c r="P1614" s="49">
        <f>ROUND((4762*$T$1),0)*1.05</f>
        <v>5000.1000000000004</v>
      </c>
      <c r="Q1614" s="49">
        <f>ROUND((4904*$T$1),0)*1.05</f>
        <v>5149.2</v>
      </c>
      <c r="R1614" s="33"/>
      <c r="S1614" s="33"/>
      <c r="T1614" s="33"/>
      <c r="U1614" s="33"/>
    </row>
    <row r="1615" spans="1:21" ht="15" customHeight="1" x14ac:dyDescent="0.3">
      <c r="A1615" s="42"/>
      <c r="B1615" s="43" t="s">
        <v>931</v>
      </c>
      <c r="C1615" s="44" t="s">
        <v>45</v>
      </c>
      <c r="D1615" s="47">
        <v>2.2000000000000002</v>
      </c>
      <c r="E1615" s="46" t="s">
        <v>47</v>
      </c>
      <c r="F1615" s="47">
        <v>1</v>
      </c>
      <c r="G1615" s="46" t="s">
        <v>48</v>
      </c>
      <c r="H1615" s="47">
        <v>0.98</v>
      </c>
      <c r="I1615" s="48">
        <v>10</v>
      </c>
      <c r="J1615" s="49">
        <f>ROUND((3880*$T$1),0)*1.05</f>
        <v>4074</v>
      </c>
      <c r="K1615" s="49">
        <f>ROUND((4129*$T$1),0)*1.05</f>
        <v>4335.45</v>
      </c>
      <c r="L1615" s="49">
        <f>ROUND((4299*$T$1),0)*1.05</f>
        <v>4513.95</v>
      </c>
      <c r="M1615" s="49">
        <f>ROUND((4469*$T$1),0)*1.05</f>
        <v>4692.45</v>
      </c>
      <c r="N1615" s="49">
        <f>ROUND((4639*$T$1),0)*1.05</f>
        <v>4870.95</v>
      </c>
      <c r="O1615" s="49">
        <f>ROUND((4809*$T$1),0)*1.05</f>
        <v>5049.45</v>
      </c>
      <c r="P1615" s="49">
        <f>ROUND((4979*$T$1),0)*1.05</f>
        <v>5227.95</v>
      </c>
      <c r="Q1615" s="49">
        <f>ROUND((5149*$T$1),0)*1.05</f>
        <v>5406.45</v>
      </c>
      <c r="R1615" s="33"/>
      <c r="S1615" s="33"/>
      <c r="T1615" s="33"/>
      <c r="U1615" s="33"/>
    </row>
    <row r="1616" spans="1:21" ht="15" customHeight="1" x14ac:dyDescent="0.3">
      <c r="A1616" s="42"/>
      <c r="B1616" s="43"/>
      <c r="C1616" s="44"/>
      <c r="D1616" s="47"/>
      <c r="E1616" s="46"/>
      <c r="F1616" s="47"/>
      <c r="G1616" s="46"/>
      <c r="H1616" s="47"/>
      <c r="I1616" s="48"/>
      <c r="J1616" s="49"/>
      <c r="K1616" s="49"/>
      <c r="L1616" s="49"/>
      <c r="M1616" s="49"/>
      <c r="N1616" s="49"/>
      <c r="O1616" s="49"/>
      <c r="P1616" s="49"/>
      <c r="Q1616" s="49"/>
      <c r="R1616" s="33"/>
      <c r="S1616" s="33"/>
      <c r="T1616" s="33"/>
      <c r="U1616" s="33"/>
    </row>
    <row r="1617" spans="1:21" ht="15" customHeight="1" x14ac:dyDescent="0.3">
      <c r="A1617" s="42"/>
      <c r="B1617" s="43" t="s">
        <v>932</v>
      </c>
      <c r="C1617" s="44" t="s">
        <v>45</v>
      </c>
      <c r="D1617" s="47">
        <v>1.6</v>
      </c>
      <c r="E1617" s="46" t="s">
        <v>47</v>
      </c>
      <c r="F1617" s="47">
        <v>1.6</v>
      </c>
      <c r="G1617" s="46" t="s">
        <v>48</v>
      </c>
      <c r="H1617" s="47">
        <v>0.98</v>
      </c>
      <c r="I1617" s="48">
        <v>9</v>
      </c>
      <c r="J1617" s="49">
        <f>ROUND((3419*$T$1),0)*1.05</f>
        <v>3589.9500000000003</v>
      </c>
      <c r="K1617" s="49">
        <f>ROUND((3637*$T$1),0)*1.05</f>
        <v>3818.8500000000004</v>
      </c>
      <c r="L1617" s="49">
        <f>ROUND((3820*$T$1),0)*1.05</f>
        <v>4011</v>
      </c>
      <c r="M1617" s="49">
        <f>ROUND((4004*$T$1),0)*1.05</f>
        <v>4204.2</v>
      </c>
      <c r="N1617" s="49">
        <f>ROUND((4187*$T$1),0)*1.05</f>
        <v>4396.3500000000004</v>
      </c>
      <c r="O1617" s="49">
        <f>ROUND((4368*$T$1),0)*1.05</f>
        <v>4586.4000000000005</v>
      </c>
      <c r="P1617" s="49">
        <f>ROUND((4551*$T$1),0)*1.05</f>
        <v>4778.55</v>
      </c>
      <c r="Q1617" s="49">
        <f>ROUND((4734*$T$1),0)*1.05</f>
        <v>4970.7</v>
      </c>
      <c r="R1617" s="33"/>
      <c r="S1617" s="33"/>
      <c r="T1617" s="33"/>
      <c r="U1617" s="33"/>
    </row>
    <row r="1618" spans="1:21" ht="15" customHeight="1" x14ac:dyDescent="0.3">
      <c r="A1618" s="42"/>
      <c r="B1618" s="43" t="s">
        <v>806</v>
      </c>
      <c r="C1618" s="44" t="s">
        <v>45</v>
      </c>
      <c r="D1618" s="47">
        <v>1.7</v>
      </c>
      <c r="E1618" s="46" t="s">
        <v>47</v>
      </c>
      <c r="F1618" s="47">
        <v>1.6</v>
      </c>
      <c r="G1618" s="46" t="s">
        <v>48</v>
      </c>
      <c r="H1618" s="47">
        <v>0.98</v>
      </c>
      <c r="I1618" s="48">
        <v>9.5</v>
      </c>
      <c r="J1618" s="49">
        <f>ROUND((3599*$T$1),0)*1.05</f>
        <v>3778.9500000000003</v>
      </c>
      <c r="K1618" s="49">
        <f>ROUND((3828*$T$1),0)*1.05</f>
        <v>4019.4</v>
      </c>
      <c r="L1618" s="49">
        <f>ROUND((4021*$T$1),0)*1.05</f>
        <v>4222.05</v>
      </c>
      <c r="M1618" s="49">
        <f>ROUND((4214*$T$1),0)*1.05</f>
        <v>4424.7</v>
      </c>
      <c r="N1618" s="49">
        <f>ROUND((4407*$T$1),0)*1.05</f>
        <v>4627.3500000000004</v>
      </c>
      <c r="O1618" s="49">
        <f>ROUND((4599*$T$1),0)*1.05</f>
        <v>4828.95</v>
      </c>
      <c r="P1618" s="49">
        <f>ROUND((4791*$T$1),0)*1.05</f>
        <v>5030.55</v>
      </c>
      <c r="Q1618" s="49">
        <f>ROUND((4985*$T$1),0)*1.05</f>
        <v>5234.25</v>
      </c>
      <c r="R1618" s="33"/>
      <c r="S1618" s="33"/>
      <c r="T1618" s="33"/>
      <c r="U1618" s="33"/>
    </row>
    <row r="1619" spans="1:21" ht="15" customHeight="1" x14ac:dyDescent="0.3">
      <c r="A1619" s="42"/>
      <c r="B1619" s="43" t="s">
        <v>788</v>
      </c>
      <c r="C1619" s="44" t="s">
        <v>45</v>
      </c>
      <c r="D1619" s="47">
        <v>1.8</v>
      </c>
      <c r="E1619" s="46" t="s">
        <v>47</v>
      </c>
      <c r="F1619" s="47">
        <v>1.6</v>
      </c>
      <c r="G1619" s="46" t="s">
        <v>48</v>
      </c>
      <c r="H1619" s="47">
        <v>0.98</v>
      </c>
      <c r="I1619" s="48">
        <v>10</v>
      </c>
      <c r="J1619" s="49">
        <f>ROUND((3779*$T$1),0)*1.05</f>
        <v>3967.9500000000003</v>
      </c>
      <c r="K1619" s="49">
        <f>ROUND((4020*$T$1),0)*1.05</f>
        <v>4221</v>
      </c>
      <c r="L1619" s="49">
        <f>ROUND((4222*$T$1),0)*1.05</f>
        <v>4433.1000000000004</v>
      </c>
      <c r="M1619" s="49">
        <f>ROUND((4424*$T$1),0)*1.05</f>
        <v>4645.2</v>
      </c>
      <c r="N1619" s="49">
        <f>ROUND((4627*$T$1),0)*1.05</f>
        <v>4858.3500000000004</v>
      </c>
      <c r="O1619" s="49">
        <f>ROUND((4829*$T$1),0)*1.05</f>
        <v>5070.45</v>
      </c>
      <c r="P1619" s="49">
        <f>ROUND((5031*$T$1),0)*1.05</f>
        <v>5282.55</v>
      </c>
      <c r="Q1619" s="49">
        <f>ROUND((5233*$T$1),0)*1.05</f>
        <v>5494.6500000000005</v>
      </c>
      <c r="R1619" s="33"/>
      <c r="S1619" s="33"/>
      <c r="T1619" s="33"/>
      <c r="U1619" s="33"/>
    </row>
    <row r="1620" spans="1:21" ht="15" customHeight="1" x14ac:dyDescent="0.3">
      <c r="A1620" s="42"/>
      <c r="B1620" s="43"/>
      <c r="C1620" s="44"/>
      <c r="D1620" s="47"/>
      <c r="E1620" s="46"/>
      <c r="F1620" s="47"/>
      <c r="G1620" s="46"/>
      <c r="H1620" s="47"/>
      <c r="I1620" s="48"/>
      <c r="J1620" s="49"/>
      <c r="K1620" s="49"/>
      <c r="L1620" s="49"/>
      <c r="M1620" s="49"/>
      <c r="N1620" s="49"/>
      <c r="O1620" s="49"/>
      <c r="P1620" s="49"/>
      <c r="Q1620" s="49"/>
      <c r="R1620" s="33"/>
      <c r="S1620" s="33"/>
      <c r="T1620" s="33"/>
      <c r="U1620" s="33"/>
    </row>
    <row r="1621" spans="1:21" ht="15" customHeight="1" x14ac:dyDescent="0.3">
      <c r="A1621" s="42"/>
      <c r="B1621" s="43" t="s">
        <v>933</v>
      </c>
      <c r="C1621" s="44" t="s">
        <v>45</v>
      </c>
      <c r="D1621" s="47">
        <v>1</v>
      </c>
      <c r="E1621" s="46" t="s">
        <v>47</v>
      </c>
      <c r="F1621" s="47">
        <v>1</v>
      </c>
      <c r="G1621" s="46" t="s">
        <v>48</v>
      </c>
      <c r="H1621" s="47">
        <v>0.98</v>
      </c>
      <c r="I1621" s="48">
        <v>6</v>
      </c>
      <c r="J1621" s="49">
        <f>ROUND((1600*$T$1),0)*1.05</f>
        <v>1680</v>
      </c>
      <c r="K1621" s="49">
        <f>ROUND((1890*$T$1),0)*1.05</f>
        <v>1984.5</v>
      </c>
      <c r="L1621" s="49">
        <f>ROUND((1985*$T$1),0)*1.05</f>
        <v>2084.25</v>
      </c>
      <c r="M1621" s="49">
        <f>ROUND((2122*$T$1),0)*1.05</f>
        <v>2228.1</v>
      </c>
      <c r="N1621" s="49">
        <f>ROUND((2244*$T$1),0)*1.05</f>
        <v>2356.2000000000003</v>
      </c>
      <c r="O1621" s="49">
        <f>ROUND((2300*$T$1),0)*1.05</f>
        <v>2415</v>
      </c>
      <c r="P1621" s="49">
        <f>ROUND((2395*$T$1),0)*1.05</f>
        <v>2514.75</v>
      </c>
      <c r="Q1621" s="49">
        <f>ROUND((2490*$T$1),0)*1.05</f>
        <v>2614.5</v>
      </c>
      <c r="R1621" s="33"/>
      <c r="S1621" s="33"/>
      <c r="T1621" s="33"/>
      <c r="U1621" s="33"/>
    </row>
    <row r="1622" spans="1:21" ht="15" customHeight="1" x14ac:dyDescent="0.3">
      <c r="A1622" s="42"/>
      <c r="B1622" s="43"/>
      <c r="C1622" s="44"/>
      <c r="D1622" s="47"/>
      <c r="E1622" s="46"/>
      <c r="F1622" s="47"/>
      <c r="G1622" s="46"/>
      <c r="H1622" s="47"/>
      <c r="I1622" s="48"/>
      <c r="J1622" s="49"/>
      <c r="K1622" s="49"/>
      <c r="L1622" s="49"/>
      <c r="M1622" s="49"/>
      <c r="N1622" s="49"/>
      <c r="O1622" s="49"/>
      <c r="P1622" s="49"/>
      <c r="Q1622" s="49"/>
      <c r="R1622" s="33"/>
      <c r="S1622" s="33"/>
      <c r="T1622" s="33"/>
      <c r="U1622" s="33"/>
    </row>
    <row r="1623" spans="1:21" ht="15" customHeight="1" x14ac:dyDescent="0.3">
      <c r="A1623" s="42"/>
      <c r="B1623" s="86"/>
      <c r="C1623" s="119"/>
      <c r="D1623" s="86"/>
      <c r="E1623" s="86"/>
      <c r="F1623" s="86"/>
      <c r="G1623" s="86"/>
      <c r="H1623" s="86"/>
      <c r="I1623" s="55"/>
      <c r="J1623" s="56"/>
      <c r="K1623" s="56"/>
      <c r="L1623" s="56"/>
      <c r="M1623" s="87" t="s">
        <v>134</v>
      </c>
      <c r="N1623" s="56"/>
      <c r="O1623" s="56"/>
      <c r="P1623" s="56"/>
      <c r="Q1623" s="56"/>
    </row>
    <row r="1624" spans="1:21" ht="15" customHeight="1" x14ac:dyDescent="0.3">
      <c r="A1624" s="42"/>
      <c r="B1624" s="59" t="s">
        <v>511</v>
      </c>
      <c r="C1624" s="60"/>
      <c r="D1624" s="59"/>
      <c r="E1624" s="59"/>
      <c r="F1624" s="59"/>
      <c r="G1624" s="59"/>
      <c r="H1624" s="59"/>
      <c r="I1624" s="61"/>
      <c r="J1624" s="62"/>
      <c r="K1624" s="62"/>
      <c r="L1624" s="62"/>
      <c r="M1624" s="62"/>
      <c r="N1624" s="62"/>
      <c r="O1624" s="62"/>
      <c r="P1624" s="62"/>
      <c r="Q1624" s="62"/>
    </row>
    <row r="1626" spans="1:21" ht="29.1" customHeight="1" x14ac:dyDescent="0.25">
      <c r="A1626" s="189" t="s">
        <v>934</v>
      </c>
      <c r="B1626" s="189"/>
      <c r="C1626" s="187" t="s">
        <v>41</v>
      </c>
      <c r="D1626" s="187"/>
      <c r="E1626" s="187"/>
      <c r="F1626" s="187"/>
      <c r="G1626" s="187"/>
      <c r="H1626" s="187"/>
      <c r="I1626" s="78" t="s">
        <v>42</v>
      </c>
      <c r="J1626" s="41" t="s">
        <v>43</v>
      </c>
      <c r="K1626" s="41">
        <v>1000</v>
      </c>
      <c r="L1626" s="41">
        <v>2000</v>
      </c>
      <c r="M1626" s="41">
        <v>3000</v>
      </c>
      <c r="N1626" s="41">
        <v>4000</v>
      </c>
      <c r="O1626" s="41">
        <v>5000</v>
      </c>
      <c r="P1626" s="41">
        <v>6000</v>
      </c>
      <c r="Q1626" s="41">
        <v>7000</v>
      </c>
    </row>
    <row r="1627" spans="1:21" ht="15" customHeight="1" x14ac:dyDescent="0.3">
      <c r="A1627" s="42"/>
      <c r="B1627" s="50" t="s">
        <v>935</v>
      </c>
      <c r="C1627" s="51" t="s">
        <v>45</v>
      </c>
      <c r="D1627" s="54">
        <v>1.5</v>
      </c>
      <c r="E1627" s="53" t="s">
        <v>47</v>
      </c>
      <c r="F1627" s="54">
        <v>0.9</v>
      </c>
      <c r="G1627" s="53" t="s">
        <v>48</v>
      </c>
      <c r="H1627" s="90">
        <v>0.78</v>
      </c>
      <c r="I1627" s="55">
        <v>10</v>
      </c>
      <c r="J1627" s="56">
        <f>ROUND((4061*$T$1),0)*1.05</f>
        <v>4264.05</v>
      </c>
      <c r="K1627" s="56">
        <f>ROUND((4511*$T$1),0)*1.05</f>
        <v>4736.55</v>
      </c>
      <c r="L1627" s="56">
        <f>ROUND((4585*$T$1),0)*1.05</f>
        <v>4814.25</v>
      </c>
      <c r="M1627" s="56">
        <f>ROUND((4669*$T$1),0)*1.05</f>
        <v>4902.45</v>
      </c>
      <c r="N1627" s="56">
        <f>ROUND((4754*$T$1),0)*1.05</f>
        <v>4991.7</v>
      </c>
      <c r="O1627" s="56">
        <f>ROUND((4806*$T$1),0)*1.05</f>
        <v>5046.3</v>
      </c>
      <c r="P1627" s="56">
        <f>ROUND((4958*$T$1),0)*1.05</f>
        <v>5205.9000000000005</v>
      </c>
      <c r="Q1627" s="56">
        <f>ROUND((5212*$T$1),0)*1.05</f>
        <v>5472.6</v>
      </c>
    </row>
    <row r="1628" spans="1:21" ht="15" customHeight="1" x14ac:dyDescent="0.3">
      <c r="A1628" s="42"/>
      <c r="B1628" s="50" t="s">
        <v>936</v>
      </c>
      <c r="C1628" s="51" t="s">
        <v>45</v>
      </c>
      <c r="D1628" s="54">
        <v>1.3</v>
      </c>
      <c r="E1628" s="53" t="s">
        <v>47</v>
      </c>
      <c r="F1628" s="54">
        <v>0.9</v>
      </c>
      <c r="G1628" s="53" t="s">
        <v>48</v>
      </c>
      <c r="H1628" s="90">
        <v>0.78</v>
      </c>
      <c r="I1628" s="55">
        <v>9</v>
      </c>
      <c r="J1628" s="56">
        <f>ROUND((3958*$T$1),0)*1.05</f>
        <v>4155.9000000000005</v>
      </c>
      <c r="K1628" s="56">
        <f>ROUND((4399*$T$1),0)*1.05</f>
        <v>4618.95</v>
      </c>
      <c r="L1628" s="56">
        <f>ROUND((4470*$T$1),0)*1.05</f>
        <v>4693.5</v>
      </c>
      <c r="M1628" s="56">
        <f>ROUND((4553*$T$1),0)*1.05</f>
        <v>4780.6500000000005</v>
      </c>
      <c r="N1628" s="56">
        <f>ROUND((4636*$T$1),0)*1.05</f>
        <v>4867.8</v>
      </c>
      <c r="O1628" s="56">
        <f>ROUND((4686*$T$1),0)*1.05</f>
        <v>4920.3</v>
      </c>
      <c r="P1628" s="56">
        <f>ROUND((4833*$T$1),0)*1.05</f>
        <v>5074.6500000000005</v>
      </c>
      <c r="Q1628" s="56">
        <f>ROUND((5082*$T$1),0)*1.05</f>
        <v>5336.1</v>
      </c>
    </row>
    <row r="1629" spans="1:21" ht="15" customHeight="1" x14ac:dyDescent="0.3">
      <c r="A1629" s="42"/>
      <c r="B1629" s="50" t="s">
        <v>937</v>
      </c>
      <c r="C1629" s="51" t="s">
        <v>45</v>
      </c>
      <c r="D1629" s="54">
        <v>1.1000000000000001</v>
      </c>
      <c r="E1629" s="53" t="s">
        <v>47</v>
      </c>
      <c r="F1629" s="54">
        <v>0.9</v>
      </c>
      <c r="G1629" s="53" t="s">
        <v>48</v>
      </c>
      <c r="H1629" s="90">
        <v>0.78</v>
      </c>
      <c r="I1629" s="55">
        <v>9</v>
      </c>
      <c r="J1629" s="56">
        <f>ROUND((3859*$T$1),0)*1.05</f>
        <v>4051.9500000000003</v>
      </c>
      <c r="K1629" s="56">
        <f>ROUND((4288*$T$1),0)*1.05</f>
        <v>4502.4000000000005</v>
      </c>
      <c r="L1629" s="56">
        <f>ROUND((4359*$T$1),0)*1.05</f>
        <v>4576.95</v>
      </c>
      <c r="M1629" s="56">
        <f>ROUND((4439*$T$1),0)*1.05</f>
        <v>4660.95</v>
      </c>
      <c r="N1629" s="56">
        <f>ROUND((4520*$T$1),0)*1.05</f>
        <v>4746</v>
      </c>
      <c r="O1629" s="56">
        <f>ROUND((4569*$T$1),0)*1.05</f>
        <v>4797.45</v>
      </c>
      <c r="P1629" s="56">
        <f>ROUND((4713*$T$1),0)*1.05</f>
        <v>4948.6500000000005</v>
      </c>
      <c r="Q1629" s="56">
        <f>ROUND((4954*$T$1),0)*1.05</f>
        <v>5201.7</v>
      </c>
    </row>
    <row r="1630" spans="1:21" ht="15" customHeight="1" x14ac:dyDescent="0.3">
      <c r="A1630" s="42"/>
      <c r="B1630" s="50"/>
      <c r="C1630" s="51"/>
      <c r="D1630" s="54"/>
      <c r="E1630" s="53"/>
      <c r="F1630" s="54"/>
      <c r="G1630" s="53"/>
      <c r="H1630" s="90"/>
      <c r="I1630" s="55"/>
      <c r="J1630" s="56"/>
      <c r="K1630" s="56"/>
      <c r="L1630" s="56"/>
      <c r="M1630" s="56"/>
      <c r="N1630" s="56"/>
      <c r="O1630" s="56"/>
      <c r="P1630" s="56"/>
      <c r="Q1630" s="56"/>
    </row>
    <row r="1631" spans="1:21" ht="15" customHeight="1" x14ac:dyDescent="0.3">
      <c r="A1631" s="42"/>
      <c r="B1631" s="50" t="s">
        <v>938</v>
      </c>
      <c r="C1631" s="51" t="s">
        <v>45</v>
      </c>
      <c r="D1631" s="54">
        <v>1.1000000000000001</v>
      </c>
      <c r="E1631" s="53" t="s">
        <v>47</v>
      </c>
      <c r="F1631" s="54">
        <v>0.9</v>
      </c>
      <c r="G1631" s="53" t="s">
        <v>48</v>
      </c>
      <c r="H1631" s="90">
        <v>0.78</v>
      </c>
      <c r="I1631" s="55">
        <v>8</v>
      </c>
      <c r="J1631" s="56">
        <f>ROUND((3778*$T$1),0)*1.05</f>
        <v>3966.9</v>
      </c>
      <c r="K1631" s="56">
        <f>ROUND((4198*$T$1),0)*1.05</f>
        <v>4407.9000000000005</v>
      </c>
      <c r="L1631" s="56">
        <f>ROUND((4260*$T$1),0)*1.05</f>
        <v>4473</v>
      </c>
      <c r="M1631" s="56">
        <f>ROUND((4330*$T$1),0)*1.05</f>
        <v>4546.5</v>
      </c>
      <c r="N1631" s="56">
        <f>ROUND((4401*$T$1),0)*1.05</f>
        <v>4621.05</v>
      </c>
      <c r="O1631" s="56">
        <f>ROUND((4445*$T$1),0)*1.05</f>
        <v>4667.25</v>
      </c>
      <c r="P1631" s="56">
        <f>ROUND((4572*$T$1),0)*1.05</f>
        <v>4800.6000000000004</v>
      </c>
      <c r="Q1631" s="56">
        <f>ROUND((4786*$T$1),0)*1.05</f>
        <v>5025.3</v>
      </c>
    </row>
    <row r="1632" spans="1:21" ht="15" customHeight="1" x14ac:dyDescent="0.3">
      <c r="A1632" s="42"/>
      <c r="B1632" s="50" t="s">
        <v>895</v>
      </c>
      <c r="C1632" s="51" t="s">
        <v>45</v>
      </c>
      <c r="D1632" s="54">
        <v>1</v>
      </c>
      <c r="E1632" s="53" t="s">
        <v>47</v>
      </c>
      <c r="F1632" s="54">
        <v>0.9</v>
      </c>
      <c r="G1632" s="53" t="s">
        <v>48</v>
      </c>
      <c r="H1632" s="90">
        <v>0.78</v>
      </c>
      <c r="I1632" s="55">
        <v>7</v>
      </c>
      <c r="J1632" s="56">
        <f>ROUND((3702*$T$1),0)*1.05</f>
        <v>3887.1000000000004</v>
      </c>
      <c r="K1632" s="56">
        <f>ROUND((4114*$T$1),0)*1.05</f>
        <v>4319.7</v>
      </c>
      <c r="L1632" s="56">
        <f>ROUND((4175*$T$1),0)*1.05</f>
        <v>4383.75</v>
      </c>
      <c r="M1632" s="56">
        <f>ROUND((4244*$T$1),0)*1.05</f>
        <v>4456.2</v>
      </c>
      <c r="N1632" s="56">
        <f>ROUND((4313*$T$1),0)*1.05</f>
        <v>4528.6500000000005</v>
      </c>
      <c r="O1632" s="56">
        <f>ROUND((4356*$T$1),0)*1.05</f>
        <v>4573.8</v>
      </c>
      <c r="P1632" s="56">
        <f>ROUND((4480*$T$1),0)*1.05</f>
        <v>4704</v>
      </c>
      <c r="Q1632" s="56">
        <f>ROUND((4691*$T$1),0)*1.05</f>
        <v>4925.55</v>
      </c>
    </row>
    <row r="1633" spans="1:20" ht="15" customHeight="1" x14ac:dyDescent="0.3">
      <c r="A1633" s="42"/>
      <c r="B1633" s="50" t="s">
        <v>939</v>
      </c>
      <c r="C1633" s="51" t="s">
        <v>45</v>
      </c>
      <c r="D1633" s="54">
        <v>0.9</v>
      </c>
      <c r="E1633" s="53" t="s">
        <v>47</v>
      </c>
      <c r="F1633" s="54">
        <v>0.9</v>
      </c>
      <c r="G1633" s="53" t="s">
        <v>48</v>
      </c>
      <c r="H1633" s="90">
        <v>0.78</v>
      </c>
      <c r="I1633" s="55">
        <v>6</v>
      </c>
      <c r="J1633" s="56">
        <f>ROUND((3628*$T$1),0)*1.05</f>
        <v>3809.4</v>
      </c>
      <c r="K1633" s="56">
        <f>ROUND((4031*$T$1),0)*1.05</f>
        <v>4232.55</v>
      </c>
      <c r="L1633" s="56">
        <f>ROUND((4091*$T$1),0)*1.05</f>
        <v>4295.55</v>
      </c>
      <c r="M1633" s="56">
        <f>ROUND((4158*$T$1),0)*1.05</f>
        <v>4365.9000000000005</v>
      </c>
      <c r="N1633" s="56">
        <f>ROUND((4226*$T$1),0)*1.05</f>
        <v>4437.3</v>
      </c>
      <c r="O1633" s="56">
        <f>ROUND((4269*$T$1),0)*1.05</f>
        <v>4482.45</v>
      </c>
      <c r="P1633" s="56">
        <f>ROUND((4392*$T$1),0)*1.05</f>
        <v>4611.6000000000004</v>
      </c>
      <c r="Q1633" s="56">
        <f>ROUND((4597*$T$1),0)*1.05</f>
        <v>4826.8500000000004</v>
      </c>
    </row>
    <row r="1635" spans="1:20" ht="15" customHeight="1" x14ac:dyDescent="0.3">
      <c r="B1635" s="50" t="s">
        <v>940</v>
      </c>
      <c r="C1635" s="51" t="s">
        <v>45</v>
      </c>
      <c r="D1635" s="54">
        <v>1.35</v>
      </c>
      <c r="E1635" s="53" t="s">
        <v>47</v>
      </c>
      <c r="F1635" s="54">
        <v>0.6</v>
      </c>
      <c r="G1635" s="53" t="s">
        <v>48</v>
      </c>
      <c r="H1635" s="90">
        <v>0.45</v>
      </c>
      <c r="I1635" s="55">
        <v>8</v>
      </c>
      <c r="J1635" s="56">
        <f>ROUND((3692*$T$1),0)*1.05</f>
        <v>3876.6000000000004</v>
      </c>
      <c r="K1635" s="56">
        <f>ROUND((4101*$T$1),0)*1.05</f>
        <v>4306.05</v>
      </c>
      <c r="L1635" s="56">
        <f>ROUND((4168*$T$1),0)*1.05</f>
        <v>4376.4000000000005</v>
      </c>
      <c r="M1635" s="56">
        <f>ROUND((4245*$T$1),0)*1.05</f>
        <v>4457.25</v>
      </c>
      <c r="N1635" s="56">
        <f>ROUND((4322*$T$1),0)*1.05</f>
        <v>4538.1000000000004</v>
      </c>
      <c r="O1635" s="56">
        <f>ROUND((4369*$T$1),0)*1.05</f>
        <v>4587.45</v>
      </c>
      <c r="P1635" s="56">
        <f>ROUND((4507*$T$1),0)*1.05</f>
        <v>4732.3500000000004</v>
      </c>
      <c r="Q1635" s="56">
        <f>ROUND((4738*$T$1),0)*1.05</f>
        <v>4974.9000000000005</v>
      </c>
    </row>
    <row r="1636" spans="1:20" ht="15" customHeight="1" x14ac:dyDescent="0.3">
      <c r="B1636" s="50" t="s">
        <v>793</v>
      </c>
      <c r="C1636" s="51" t="s">
        <v>45</v>
      </c>
      <c r="D1636" s="54">
        <v>1.1000000000000001</v>
      </c>
      <c r="E1636" s="53" t="s">
        <v>47</v>
      </c>
      <c r="F1636" s="54">
        <v>0.6</v>
      </c>
      <c r="G1636" s="53" t="s">
        <v>48</v>
      </c>
      <c r="H1636" s="90">
        <v>0.45</v>
      </c>
      <c r="I1636" s="55">
        <v>7</v>
      </c>
      <c r="J1636" s="56">
        <f>ROUND((3598*$T$1),0)*1.05</f>
        <v>3777.9</v>
      </c>
      <c r="K1636" s="56">
        <f>ROUND((3999*$T$1),0)*1.05</f>
        <v>4198.95</v>
      </c>
      <c r="L1636" s="56">
        <f>ROUND((4064*$T$1),0)*1.05</f>
        <v>4267.2</v>
      </c>
      <c r="M1636" s="56">
        <f>ROUND((4139*$T$1),0)*1.05</f>
        <v>4345.95</v>
      </c>
      <c r="N1636" s="56">
        <f>ROUND((4215*$T$1),0)*1.05</f>
        <v>4425.75</v>
      </c>
      <c r="O1636" s="56">
        <f>ROUND((4260*$T$1),0)*1.05</f>
        <v>4473</v>
      </c>
      <c r="P1636" s="56">
        <f>ROUND((4394*$T$1),0)*1.05</f>
        <v>4613.7</v>
      </c>
      <c r="Q1636" s="56">
        <f>ROUND((4620*$T$1),0)*1.05</f>
        <v>4851</v>
      </c>
    </row>
    <row r="1637" spans="1:20" ht="15" customHeight="1" x14ac:dyDescent="0.3">
      <c r="B1637" s="50" t="s">
        <v>792</v>
      </c>
      <c r="C1637" s="51" t="s">
        <v>45</v>
      </c>
      <c r="D1637" s="54">
        <v>1</v>
      </c>
      <c r="E1637" s="53" t="s">
        <v>47</v>
      </c>
      <c r="F1637" s="54">
        <v>0.6</v>
      </c>
      <c r="G1637" s="53" t="s">
        <v>48</v>
      </c>
      <c r="H1637" s="90">
        <v>0.45</v>
      </c>
      <c r="I1637" s="55">
        <v>7</v>
      </c>
      <c r="J1637" s="56">
        <f>ROUND((3508*$T$1),0)*1.05</f>
        <v>3683.4</v>
      </c>
      <c r="K1637" s="56">
        <f>ROUND((3898*$T$1),0)*1.05</f>
        <v>4092.9</v>
      </c>
      <c r="L1637" s="56">
        <f>ROUND((3963*$T$1),0)*1.05</f>
        <v>4161.1500000000005</v>
      </c>
      <c r="M1637" s="56">
        <f>ROUND((4035*$T$1),0)*1.05</f>
        <v>4236.75</v>
      </c>
      <c r="N1637" s="56">
        <f>ROUND((4109*$T$1),0)*1.05</f>
        <v>4314.45</v>
      </c>
      <c r="O1637" s="56">
        <f>ROUND((4154*$T$1),0)*1.05</f>
        <v>4361.7</v>
      </c>
      <c r="P1637" s="56">
        <f>ROUND((4285*$T$1),0)*1.05</f>
        <v>4499.25</v>
      </c>
      <c r="Q1637" s="56">
        <f>ROUND((4504*$T$1),0)*1.05</f>
        <v>4729.2</v>
      </c>
    </row>
    <row r="1639" spans="1:20" ht="15" customHeight="1" x14ac:dyDescent="0.3">
      <c r="M1639" s="87" t="s">
        <v>134</v>
      </c>
    </row>
    <row r="1640" spans="1:20" ht="15" customHeight="1" x14ac:dyDescent="0.3">
      <c r="B1640" s="59" t="s">
        <v>511</v>
      </c>
      <c r="C1640" s="60"/>
      <c r="D1640" s="59"/>
      <c r="E1640" s="59"/>
      <c r="F1640" s="59"/>
      <c r="G1640" s="59"/>
      <c r="H1640" s="59"/>
      <c r="I1640" s="61"/>
      <c r="J1640" s="62"/>
      <c r="K1640" s="62"/>
      <c r="L1640" s="62"/>
      <c r="M1640" s="62"/>
      <c r="N1640" s="62"/>
      <c r="O1640" s="62"/>
      <c r="P1640" s="62"/>
      <c r="Q1640" s="62"/>
    </row>
    <row r="1641" spans="1:20" ht="15" customHeight="1" x14ac:dyDescent="0.3">
      <c r="B1641" s="59"/>
      <c r="C1641" s="60"/>
      <c r="D1641" s="59"/>
      <c r="E1641" s="59"/>
      <c r="F1641" s="59"/>
      <c r="G1641" s="59"/>
      <c r="H1641" s="59"/>
      <c r="I1641" s="61"/>
      <c r="J1641" s="62"/>
      <c r="K1641" s="62"/>
      <c r="L1641" s="62"/>
      <c r="M1641" s="62"/>
      <c r="N1641" s="62"/>
      <c r="O1641" s="62"/>
      <c r="P1641" s="62"/>
      <c r="Q1641" s="62"/>
    </row>
    <row r="1642" spans="1:20" ht="15" customHeight="1" x14ac:dyDescent="0.3">
      <c r="B1642" s="63"/>
      <c r="C1642" s="64"/>
      <c r="D1642" s="63"/>
      <c r="E1642" s="63"/>
      <c r="F1642" s="63"/>
      <c r="G1642" s="63"/>
      <c r="H1642" s="63"/>
      <c r="I1642" s="48"/>
      <c r="J1642" s="49"/>
      <c r="K1642" s="49"/>
      <c r="L1642" s="49"/>
      <c r="M1642" s="49"/>
      <c r="N1642" s="49"/>
      <c r="O1642" s="49"/>
      <c r="P1642" s="49"/>
      <c r="Q1642" s="49"/>
    </row>
    <row r="1643" spans="1:20" ht="29.1" customHeight="1" x14ac:dyDescent="0.25">
      <c r="A1643" s="127" t="s">
        <v>941</v>
      </c>
      <c r="B1643" s="77"/>
      <c r="C1643" s="187" t="s">
        <v>41</v>
      </c>
      <c r="D1643" s="187"/>
      <c r="E1643" s="187"/>
      <c r="F1643" s="187"/>
      <c r="G1643" s="187"/>
      <c r="H1643" s="187"/>
      <c r="I1643" s="78" t="s">
        <v>42</v>
      </c>
      <c r="J1643" s="41" t="s">
        <v>43</v>
      </c>
      <c r="K1643" s="41">
        <v>1000</v>
      </c>
      <c r="L1643" s="41">
        <v>2000</v>
      </c>
      <c r="M1643" s="41">
        <v>3000</v>
      </c>
      <c r="N1643" s="41">
        <v>4000</v>
      </c>
      <c r="O1643" s="41">
        <v>5000</v>
      </c>
      <c r="P1643" s="41">
        <v>6000</v>
      </c>
      <c r="Q1643" s="41">
        <v>7000</v>
      </c>
    </row>
    <row r="1644" spans="1:20" ht="15" customHeight="1" x14ac:dyDescent="0.3">
      <c r="A1644" s="42"/>
      <c r="B1644" s="43" t="s">
        <v>867</v>
      </c>
      <c r="C1644" s="44" t="s">
        <v>45</v>
      </c>
      <c r="D1644" s="47">
        <v>1.8</v>
      </c>
      <c r="E1644" s="46" t="s">
        <v>47</v>
      </c>
      <c r="F1644" s="47">
        <v>1</v>
      </c>
      <c r="G1644" s="46" t="s">
        <v>48</v>
      </c>
      <c r="H1644" s="47">
        <v>0.75</v>
      </c>
      <c r="I1644" s="48">
        <v>19</v>
      </c>
      <c r="J1644" s="49">
        <f>ROUND((3863*$T$1),0)*1.15</f>
        <v>4442.45</v>
      </c>
      <c r="K1644" s="49">
        <f>ROUND((4126*$T$1),0)*1.15</f>
        <v>4744.8999999999996</v>
      </c>
      <c r="L1644" s="49">
        <f>ROUND((4373*$T$1),0)*1.15</f>
        <v>5028.95</v>
      </c>
      <c r="M1644" s="49">
        <f>ROUND((4636*$T$1),0)*1.15</f>
        <v>5331.4</v>
      </c>
      <c r="N1644" s="49">
        <f>ROUND((4914*$T$1),0)*1.15</f>
        <v>5651.0999999999995</v>
      </c>
      <c r="O1644" s="49">
        <f>ROUND((5192*$T$1),0)*1.15</f>
        <v>5970.7999999999993</v>
      </c>
      <c r="P1644" s="49">
        <f>ROUND((5470*$T$1),0)*1.15</f>
        <v>6290.4999999999991</v>
      </c>
      <c r="Q1644" s="49">
        <f>ROUND((5192*$T$1),0)*1.15</f>
        <v>5970.7999999999993</v>
      </c>
      <c r="R1644" s="33"/>
      <c r="S1644" s="33"/>
      <c r="T1644" s="33"/>
    </row>
    <row r="1645" spans="1:20" ht="15" customHeight="1" x14ac:dyDescent="0.3">
      <c r="A1645" s="42"/>
      <c r="B1645" s="43" t="s">
        <v>866</v>
      </c>
      <c r="C1645" s="44" t="s">
        <v>45</v>
      </c>
      <c r="D1645" s="47">
        <v>2</v>
      </c>
      <c r="E1645" s="46" t="s">
        <v>47</v>
      </c>
      <c r="F1645" s="47">
        <v>1</v>
      </c>
      <c r="G1645" s="46" t="s">
        <v>48</v>
      </c>
      <c r="H1645" s="47">
        <v>0.75</v>
      </c>
      <c r="I1645" s="48">
        <v>19.5</v>
      </c>
      <c r="J1645" s="49">
        <f>ROUND((4025*$T$1),0)*1.15</f>
        <v>4628.75</v>
      </c>
      <c r="K1645" s="49">
        <f>ROUND((4298*$T$1),0)*1.15</f>
        <v>4942.7</v>
      </c>
      <c r="L1645" s="49">
        <f>ROUND((4556*$T$1),0)*1.15</f>
        <v>5239.3999999999996</v>
      </c>
      <c r="M1645" s="49">
        <f>ROUND((4829*$T$1),0)*1.15</f>
        <v>5553.3499999999995</v>
      </c>
      <c r="N1645" s="49">
        <f>ROUND((5119*$T$1),0)*1.15</f>
        <v>5886.8499999999995</v>
      </c>
      <c r="O1645" s="49">
        <f>ROUND((5409*$T$1),0)*1.15</f>
        <v>6220.3499999999995</v>
      </c>
      <c r="P1645" s="49">
        <f>ROUND((5699*$T$1),0)*1.15</f>
        <v>6553.8499999999995</v>
      </c>
      <c r="Q1645" s="49">
        <f>ROUND((5989*$T$1),0)*1.15</f>
        <v>6887.3499999999995</v>
      </c>
      <c r="R1645" s="33"/>
      <c r="S1645" s="33"/>
      <c r="T1645" s="33"/>
    </row>
    <row r="1646" spans="1:20" ht="15" customHeight="1" x14ac:dyDescent="0.3">
      <c r="A1646" s="42"/>
      <c r="B1646" s="43" t="s">
        <v>931</v>
      </c>
      <c r="C1646" s="44" t="s">
        <v>45</v>
      </c>
      <c r="D1646" s="47">
        <v>2.2000000000000002</v>
      </c>
      <c r="E1646" s="46" t="s">
        <v>47</v>
      </c>
      <c r="F1646" s="47">
        <v>1</v>
      </c>
      <c r="G1646" s="46" t="s">
        <v>48</v>
      </c>
      <c r="H1646" s="47">
        <v>0.75</v>
      </c>
      <c r="I1646" s="48">
        <v>20</v>
      </c>
      <c r="J1646" s="49">
        <f>ROUND((4192*$T$1),0)*1.15</f>
        <v>4820.7999999999993</v>
      </c>
      <c r="K1646" s="49">
        <f>ROUND((4477*$T$1),0)*1.15</f>
        <v>5148.5499999999993</v>
      </c>
      <c r="L1646" s="49">
        <f>ROUND((4745*$T$1),0)*1.15</f>
        <v>5456.75</v>
      </c>
      <c r="M1646" s="49">
        <f>ROUND((5030*$T$1),0)*1.15</f>
        <v>5784.5</v>
      </c>
      <c r="N1646" s="49">
        <f>ROUND((5332*$T$1),0)*1.15</f>
        <v>6131.7999999999993</v>
      </c>
      <c r="O1646" s="49">
        <f>ROUND((5634*$T$1),0)*1.15</f>
        <v>6479.0999999999995</v>
      </c>
      <c r="P1646" s="49">
        <f>ROUND((5936*$T$1),0)*1.15</f>
        <v>6826.4</v>
      </c>
      <c r="Q1646" s="49">
        <f>ROUND((6238*$T$1),0)*1.15</f>
        <v>7173.7</v>
      </c>
      <c r="R1646" s="33"/>
      <c r="S1646" s="33"/>
      <c r="T1646" s="33"/>
    </row>
    <row r="1647" spans="1:20" ht="15" customHeight="1" x14ac:dyDescent="0.3">
      <c r="A1647" s="42"/>
      <c r="B1647" s="43" t="s">
        <v>942</v>
      </c>
      <c r="C1647" s="44" t="s">
        <v>45</v>
      </c>
      <c r="D1647" s="47">
        <v>2.4</v>
      </c>
      <c r="E1647" s="46" t="s">
        <v>47</v>
      </c>
      <c r="F1647" s="47">
        <v>1</v>
      </c>
      <c r="G1647" s="46" t="s">
        <v>48</v>
      </c>
      <c r="H1647" s="47">
        <v>0.75</v>
      </c>
      <c r="I1647" s="48">
        <v>20.5</v>
      </c>
      <c r="J1647" s="49">
        <f>ROUND((4367*$T$1),0)*1.15</f>
        <v>5022.0499999999993</v>
      </c>
      <c r="K1647" s="49">
        <f>ROUND((4664*$T$1),0)*1.15</f>
        <v>5363.5999999999995</v>
      </c>
      <c r="L1647" s="49">
        <f>ROUND((4943*$T$1),0)*1.15</f>
        <v>5684.45</v>
      </c>
      <c r="M1647" s="49">
        <f>ROUND((5240*$T$1),0)*1.15</f>
        <v>6025.9999999999991</v>
      </c>
      <c r="N1647" s="49">
        <f>ROUND((5555*$T$1),0)*1.15</f>
        <v>6388.2499999999991</v>
      </c>
      <c r="O1647" s="49">
        <f>ROUND((5870*$T$1),0)*1.15</f>
        <v>6750.4999999999991</v>
      </c>
      <c r="P1647" s="49">
        <f>ROUND((6185*$T$1),0)*1.15</f>
        <v>7112.7499999999991</v>
      </c>
      <c r="Q1647" s="49">
        <f>ROUND((6500*$T$1),0)*1.15</f>
        <v>7474.9999999999991</v>
      </c>
      <c r="R1647" s="33"/>
      <c r="S1647" s="33"/>
      <c r="T1647" s="33"/>
    </row>
    <row r="1648" spans="1:20" ht="15" customHeight="1" x14ac:dyDescent="0.3">
      <c r="A1648" s="42"/>
      <c r="B1648" s="43" t="s">
        <v>943</v>
      </c>
      <c r="C1648" s="44" t="s">
        <v>45</v>
      </c>
      <c r="D1648" s="47">
        <v>2.6</v>
      </c>
      <c r="E1648" s="46" t="s">
        <v>47</v>
      </c>
      <c r="F1648" s="47">
        <v>1</v>
      </c>
      <c r="G1648" s="46" t="s">
        <v>48</v>
      </c>
      <c r="H1648" s="47">
        <v>0.75</v>
      </c>
      <c r="I1648" s="48">
        <v>21</v>
      </c>
      <c r="J1648" s="49">
        <f>ROUND((4549*$T$1),0)*1.15</f>
        <v>5231.3499999999995</v>
      </c>
      <c r="K1648" s="49">
        <f>ROUND((4858*$T$1),0)*1.15</f>
        <v>5586.7</v>
      </c>
      <c r="L1648" s="49">
        <f>ROUND((5149*$T$1),0)*1.15</f>
        <v>5921.3499999999995</v>
      </c>
      <c r="M1648" s="49">
        <f>ROUND((5458*$T$1),0)*1.15</f>
        <v>6276.7</v>
      </c>
      <c r="N1648" s="49">
        <f>ROUND((5786*$T$1),0)*1.15</f>
        <v>6653.9</v>
      </c>
      <c r="O1648" s="49">
        <f>ROUND((6114*$T$1),0)*1.15</f>
        <v>7031.0999999999995</v>
      </c>
      <c r="P1648" s="49">
        <f>ROUND((6442*$T$1),0)*1.15</f>
        <v>7408.2999999999993</v>
      </c>
      <c r="Q1648" s="49">
        <f>ROUND((6770*$T$1),0)*1.15</f>
        <v>7785.4999999999991</v>
      </c>
      <c r="R1648" s="33"/>
      <c r="S1648" s="33"/>
      <c r="T1648" s="33"/>
    </row>
    <row r="1649" spans="1:21" ht="15" customHeight="1" x14ac:dyDescent="0.3">
      <c r="A1649" s="42"/>
      <c r="B1649" s="43"/>
      <c r="C1649" s="44"/>
      <c r="D1649" s="47"/>
      <c r="E1649" s="46"/>
      <c r="F1649" s="47"/>
      <c r="G1649" s="46"/>
      <c r="H1649" s="47"/>
      <c r="I1649" s="48"/>
      <c r="J1649" s="49"/>
      <c r="K1649" s="49"/>
      <c r="L1649" s="49"/>
      <c r="M1649" s="49"/>
      <c r="N1649" s="49"/>
      <c r="O1649" s="49"/>
      <c r="P1649" s="49"/>
      <c r="Q1649" s="49"/>
      <c r="R1649" s="33"/>
      <c r="S1649" s="33"/>
      <c r="T1649" s="33"/>
    </row>
    <row r="1650" spans="1:21" ht="15" customHeight="1" x14ac:dyDescent="0.3">
      <c r="A1650" s="42"/>
      <c r="B1650" s="43" t="s">
        <v>944</v>
      </c>
      <c r="C1650" s="44" t="s">
        <v>45</v>
      </c>
      <c r="D1650" s="47">
        <v>1.03</v>
      </c>
      <c r="E1650" s="46" t="s">
        <v>47</v>
      </c>
      <c r="F1650" s="47">
        <v>2</v>
      </c>
      <c r="G1650" s="46" t="s">
        <v>48</v>
      </c>
      <c r="H1650" s="47">
        <v>0.75</v>
      </c>
      <c r="I1650" s="48">
        <v>17</v>
      </c>
      <c r="J1650" s="49">
        <f>ROUND((3282*$T$1),0)*1.15</f>
        <v>3774.2999999999997</v>
      </c>
      <c r="K1650" s="49">
        <f>ROUND((3547*$T$1),0)*1.15</f>
        <v>4079.0499999999997</v>
      </c>
      <c r="L1650" s="49">
        <f>ROUND((3796*$T$1),0)*1.15</f>
        <v>4365.3999999999996</v>
      </c>
      <c r="M1650" s="49">
        <f>ROUND((4061*$T$1),0)*1.15</f>
        <v>4670.1499999999996</v>
      </c>
      <c r="N1650" s="49">
        <f>ROUND((4346*$T$1),0)*1.15</f>
        <v>4997.8999999999996</v>
      </c>
      <c r="O1650" s="49">
        <f>ROUND((4641*$T$1),0)*1.15</f>
        <v>5337.15</v>
      </c>
      <c r="P1650" s="49">
        <f>ROUND((4916*$T$1),0)*1.15</f>
        <v>5653.4</v>
      </c>
      <c r="Q1650" s="49">
        <f>ROUND((5201*$T$1),0)*1.15</f>
        <v>5981.15</v>
      </c>
      <c r="R1650" s="33"/>
      <c r="S1650" s="33"/>
      <c r="T1650" s="33"/>
    </row>
    <row r="1651" spans="1:21" ht="15" customHeight="1" x14ac:dyDescent="0.3">
      <c r="A1651" s="42"/>
      <c r="B1651" s="43" t="s">
        <v>945</v>
      </c>
      <c r="C1651" s="44" t="s">
        <v>45</v>
      </c>
      <c r="D1651" s="47">
        <v>1.03</v>
      </c>
      <c r="E1651" s="46" t="s">
        <v>47</v>
      </c>
      <c r="F1651" s="47">
        <v>2.1</v>
      </c>
      <c r="G1651" s="46" t="s">
        <v>48</v>
      </c>
      <c r="H1651" s="47">
        <v>0.75</v>
      </c>
      <c r="I1651" s="48">
        <v>17.5</v>
      </c>
      <c r="J1651" s="49">
        <f>ROUND((3381*$T$1),0)*1.15</f>
        <v>3888.1499999999996</v>
      </c>
      <c r="K1651" s="49" t="s">
        <v>946</v>
      </c>
      <c r="L1651" s="49">
        <f>ROUND((3910*$T$1),0)*1.15</f>
        <v>4496.5</v>
      </c>
      <c r="M1651" s="49">
        <f>ROUND((4183*$T$1),0)*1.15</f>
        <v>4810.45</v>
      </c>
      <c r="N1651" s="49">
        <f>ROUND((4476*$T$1),0)*1.15</f>
        <v>5147.3999999999996</v>
      </c>
      <c r="O1651" s="49">
        <f>ROUND((4769*$T$1),0)*1.15</f>
        <v>5484.3499999999995</v>
      </c>
      <c r="P1651" s="49">
        <f>ROUND((5062*$T$1),0)*1.15</f>
        <v>5821.2999999999993</v>
      </c>
      <c r="Q1651" s="49">
        <f>ROUND((5355*$T$1),0)*1.15</f>
        <v>6158.2499999999991</v>
      </c>
      <c r="R1651" s="33"/>
      <c r="S1651" s="33"/>
      <c r="T1651" s="33"/>
    </row>
    <row r="1652" spans="1:21" ht="15" customHeight="1" x14ac:dyDescent="0.3">
      <c r="A1652" s="42"/>
      <c r="B1652" s="43" t="s">
        <v>947</v>
      </c>
      <c r="C1652" s="44" t="s">
        <v>45</v>
      </c>
      <c r="D1652" s="47">
        <v>1.03</v>
      </c>
      <c r="E1652" s="46" t="s">
        <v>47</v>
      </c>
      <c r="F1652" s="47">
        <v>2.2000000000000002</v>
      </c>
      <c r="G1652" s="46" t="s">
        <v>48</v>
      </c>
      <c r="H1652" s="47">
        <v>0.75</v>
      </c>
      <c r="I1652" s="48">
        <v>18</v>
      </c>
      <c r="J1652" s="49">
        <f>ROUND((3515*$T$1),0)*1.15</f>
        <v>4042.2499999999995</v>
      </c>
      <c r="K1652" s="49">
        <f>ROUND((3800*$T$1),0)*1.15</f>
        <v>4370</v>
      </c>
      <c r="L1652" s="49">
        <f>ROUND((4066*$T$1),0)*1.15</f>
        <v>4675.8999999999996</v>
      </c>
      <c r="M1652" s="49">
        <f>ROUND((4351*$T$1),0)*1.15</f>
        <v>5003.6499999999996</v>
      </c>
      <c r="N1652" s="49">
        <f>ROUND((4655*$T$1),0)*1.15</f>
        <v>5353.25</v>
      </c>
      <c r="O1652" s="49">
        <f>ROUND((4959*$T$1),0)*1.15</f>
        <v>5702.8499999999995</v>
      </c>
      <c r="P1652" s="49">
        <f>ROUND((5263*$T$1),0)*1.15</f>
        <v>6052.45</v>
      </c>
      <c r="Q1652" s="49">
        <f>ROUND((5567*$T$1),0)*1.15</f>
        <v>6402.0499999999993</v>
      </c>
      <c r="R1652" s="33"/>
      <c r="S1652" s="33"/>
      <c r="T1652" s="33"/>
    </row>
    <row r="1653" spans="1:21" ht="15" customHeight="1" x14ac:dyDescent="0.3">
      <c r="A1653" s="42"/>
      <c r="B1653" s="43" t="s">
        <v>948</v>
      </c>
      <c r="C1653" s="44" t="s">
        <v>45</v>
      </c>
      <c r="D1653" s="47">
        <v>1.03</v>
      </c>
      <c r="E1653" s="46" t="s">
        <v>47</v>
      </c>
      <c r="F1653" s="47">
        <v>2.2999999999999998</v>
      </c>
      <c r="G1653" s="46" t="s">
        <v>48</v>
      </c>
      <c r="H1653" s="47">
        <v>0.75</v>
      </c>
      <c r="I1653" s="48">
        <v>18.5</v>
      </c>
      <c r="J1653" s="49">
        <f>ROUND((3656*$T$1),0)*1.15</f>
        <v>4204.3999999999996</v>
      </c>
      <c r="K1653" s="49">
        <f>ROUND((3952*$T$1),0)*1.15</f>
        <v>4544.7999999999993</v>
      </c>
      <c r="L1653" s="49">
        <f>ROUND((4229*$T$1),0)*1.15</f>
        <v>4863.3499999999995</v>
      </c>
      <c r="M1653" s="49">
        <f>ROUND((4525*$T$1),0)*1.15</f>
        <v>5203.75</v>
      </c>
      <c r="N1653" s="49">
        <f>ROUND((4841*$T$1),0)*1.15</f>
        <v>5567.15</v>
      </c>
      <c r="O1653" s="49">
        <f>ROUND((5157*$T$1),0)*1.15</f>
        <v>5930.5499999999993</v>
      </c>
      <c r="P1653" s="49">
        <f>ROUND((5473*$T$1),0)*1.15</f>
        <v>6293.95</v>
      </c>
      <c r="Q1653" s="49">
        <f>ROUND((5789*$T$1),0)*1.15</f>
        <v>6657.3499999999995</v>
      </c>
      <c r="R1653" s="33"/>
      <c r="S1653" s="33"/>
      <c r="T1653" s="33"/>
    </row>
    <row r="1654" spans="1:21" ht="15" customHeight="1" x14ac:dyDescent="0.3">
      <c r="A1654" s="42"/>
      <c r="B1654" s="43" t="s">
        <v>949</v>
      </c>
      <c r="C1654" s="44" t="s">
        <v>45</v>
      </c>
      <c r="D1654" s="47">
        <v>1.03</v>
      </c>
      <c r="E1654" s="46" t="s">
        <v>47</v>
      </c>
      <c r="F1654" s="47">
        <v>2.4</v>
      </c>
      <c r="G1654" s="46" t="s">
        <v>48</v>
      </c>
      <c r="H1654" s="47">
        <v>0.75</v>
      </c>
      <c r="I1654" s="48">
        <v>19</v>
      </c>
      <c r="J1654" s="49">
        <f>ROUND((3802*$T$1),0)*1.15</f>
        <v>4372.2999999999993</v>
      </c>
      <c r="K1654" s="49">
        <f>ROUND((4110*$T$1),0)*1.15</f>
        <v>4726.5</v>
      </c>
      <c r="L1654" s="49">
        <f>ROUND((4398*$T$1),0)*1.15</f>
        <v>5057.7</v>
      </c>
      <c r="M1654" s="49">
        <f>ROUND((4706*$T$1),0)*1.15</f>
        <v>5411.9</v>
      </c>
      <c r="N1654" s="49">
        <f>ROUND((5035*$T$1),0)*1.15</f>
        <v>5790.25</v>
      </c>
      <c r="O1654" s="49">
        <f>ROUND((5364*$T$1),0)*1.15</f>
        <v>6168.5999999999995</v>
      </c>
      <c r="P1654" s="49">
        <f>ROUND((5693*$T$1),0)*1.15</f>
        <v>6546.95</v>
      </c>
      <c r="Q1654" s="49">
        <f>ROUND((6022*$T$1),0)*1.15</f>
        <v>6925.2999999999993</v>
      </c>
      <c r="R1654" s="33"/>
      <c r="S1654" s="33"/>
      <c r="T1654" s="33"/>
    </row>
    <row r="1655" spans="1:21" ht="15" customHeight="1" x14ac:dyDescent="0.3">
      <c r="A1655" s="42"/>
      <c r="B1655" s="43"/>
      <c r="C1655" s="44"/>
      <c r="D1655" s="47"/>
      <c r="E1655" s="46"/>
      <c r="F1655" s="47"/>
      <c r="G1655" s="46"/>
      <c r="H1655" s="47"/>
      <c r="I1655" s="48"/>
      <c r="J1655" s="49"/>
      <c r="K1655" s="49"/>
      <c r="L1655" s="49"/>
      <c r="M1655" s="49"/>
      <c r="N1655" s="49"/>
      <c r="O1655" s="49"/>
      <c r="P1655" s="49"/>
      <c r="Q1655" s="49"/>
      <c r="R1655" s="33"/>
      <c r="S1655" s="33"/>
      <c r="T1655" s="33"/>
    </row>
    <row r="1656" spans="1:21" ht="15" customHeight="1" x14ac:dyDescent="0.3">
      <c r="A1656" s="42"/>
      <c r="B1656" s="43" t="s">
        <v>950</v>
      </c>
      <c r="C1656" s="44" t="s">
        <v>45</v>
      </c>
      <c r="D1656" s="47">
        <v>0.5</v>
      </c>
      <c r="E1656" s="46" t="s">
        <v>47</v>
      </c>
      <c r="F1656" s="47">
        <v>0.5</v>
      </c>
      <c r="G1656" s="46" t="s">
        <v>48</v>
      </c>
      <c r="H1656" s="47">
        <v>0.45</v>
      </c>
      <c r="I1656" s="48">
        <v>3</v>
      </c>
      <c r="J1656" s="49">
        <f>ROUND((510*$T$1),0)</f>
        <v>510</v>
      </c>
      <c r="K1656" s="49">
        <f>ROUND((600*$T$1),0)</f>
        <v>600</v>
      </c>
      <c r="L1656" s="49">
        <f>ROUND((690*$T$1),0)</f>
        <v>690</v>
      </c>
      <c r="M1656" s="49">
        <f>ROUND((780*$T$1),0)</f>
        <v>780</v>
      </c>
      <c r="N1656" s="49">
        <f>ROUND((870*$T$1),0)</f>
        <v>870</v>
      </c>
      <c r="O1656" s="49">
        <f>ROUND((960*$T$1),0)</f>
        <v>960</v>
      </c>
      <c r="P1656" s="49">
        <f>ROUND((1050*$T$1),0)</f>
        <v>1050</v>
      </c>
      <c r="Q1656" s="49">
        <f>ROUND((1140*$T$1),0)</f>
        <v>1140</v>
      </c>
      <c r="R1656" s="33"/>
      <c r="S1656" s="33"/>
      <c r="T1656" s="33"/>
    </row>
    <row r="1657" spans="1:21" ht="15" customHeight="1" x14ac:dyDescent="0.3">
      <c r="A1657" s="42"/>
      <c r="B1657" s="43" t="s">
        <v>792</v>
      </c>
      <c r="C1657" s="44" t="s">
        <v>45</v>
      </c>
      <c r="D1657" s="47">
        <v>1</v>
      </c>
      <c r="E1657" s="46" t="s">
        <v>47</v>
      </c>
      <c r="F1657" s="47">
        <v>0.7</v>
      </c>
      <c r="G1657" s="46" t="s">
        <v>48</v>
      </c>
      <c r="H1657" s="47">
        <v>0.45</v>
      </c>
      <c r="I1657" s="48">
        <v>4</v>
      </c>
      <c r="J1657" s="49">
        <f>ROUND((1120*$T$1),0)</f>
        <v>1120</v>
      </c>
      <c r="K1657" s="49">
        <f>ROUND((1300*$T$1),0)</f>
        <v>1300</v>
      </c>
      <c r="L1657" s="49">
        <f>ROUND((1480*$T$1),0)</f>
        <v>1480</v>
      </c>
      <c r="M1657" s="49">
        <f>ROUND((1590*$T$1),0)</f>
        <v>1590</v>
      </c>
      <c r="N1657" s="49">
        <f>ROUND((1700*$T$1),0)</f>
        <v>1700</v>
      </c>
      <c r="O1657" s="49">
        <f>ROUND((1810*$T$1),0)</f>
        <v>1810</v>
      </c>
      <c r="P1657" s="49">
        <f>ROUND((1920*$T$1),0)</f>
        <v>1920</v>
      </c>
      <c r="Q1657" s="49">
        <f>ROUND((2030*$T$1),0)</f>
        <v>2030</v>
      </c>
      <c r="R1657" s="33"/>
      <c r="S1657" s="33"/>
      <c r="T1657" s="33"/>
    </row>
    <row r="1658" spans="1:21" ht="15" customHeight="1" x14ac:dyDescent="0.3">
      <c r="A1658" s="42"/>
      <c r="B1658" s="43" t="s">
        <v>794</v>
      </c>
      <c r="C1658" s="44" t="s">
        <v>45</v>
      </c>
      <c r="D1658" s="47">
        <v>1.2</v>
      </c>
      <c r="E1658" s="46" t="s">
        <v>47</v>
      </c>
      <c r="F1658" s="47">
        <v>0.7</v>
      </c>
      <c r="G1658" s="46" t="s">
        <v>48</v>
      </c>
      <c r="H1658" s="47">
        <v>0.45</v>
      </c>
      <c r="I1658" s="48">
        <v>5</v>
      </c>
      <c r="J1658" s="49">
        <f>ROUND((1200*$T$1),0)</f>
        <v>1200</v>
      </c>
      <c r="K1658" s="49">
        <f>ROUND((1380*$T$1),0)</f>
        <v>1380</v>
      </c>
      <c r="L1658" s="49">
        <f>ROUND((1560*$T$1),0)</f>
        <v>1560</v>
      </c>
      <c r="M1658" s="49">
        <f>ROUND((1650*$T$1),0)</f>
        <v>1650</v>
      </c>
      <c r="N1658" s="49">
        <f>ROUND((1740*$T$1),0)</f>
        <v>1740</v>
      </c>
      <c r="O1658" s="49">
        <f>ROUND((1890*$T$1),0)</f>
        <v>1890</v>
      </c>
      <c r="P1658" s="49">
        <f>ROUND((2000*$T$1),0)</f>
        <v>2000</v>
      </c>
      <c r="Q1658" s="49">
        <f>ROUND((2100*$T$1),0)</f>
        <v>2100</v>
      </c>
      <c r="R1658" s="33"/>
      <c r="S1658" s="33"/>
      <c r="T1658" s="33"/>
    </row>
    <row r="1659" spans="1:21" ht="15" customHeight="1" x14ac:dyDescent="0.3">
      <c r="A1659" s="42"/>
      <c r="B1659" s="86"/>
      <c r="C1659" s="119"/>
      <c r="D1659" s="86"/>
      <c r="E1659" s="86"/>
      <c r="F1659" s="86"/>
      <c r="G1659" s="86"/>
      <c r="H1659" s="86"/>
      <c r="I1659" s="55"/>
      <c r="J1659" s="56"/>
      <c r="K1659" s="56"/>
      <c r="L1659" s="56"/>
      <c r="M1659" s="56"/>
      <c r="N1659" s="56"/>
      <c r="O1659" s="56"/>
      <c r="P1659" s="56"/>
      <c r="Q1659" s="56"/>
    </row>
    <row r="1660" spans="1:21" ht="15" customHeight="1" x14ac:dyDescent="0.3">
      <c r="A1660" s="42"/>
      <c r="B1660" s="86"/>
      <c r="C1660" s="119"/>
      <c r="D1660" s="86"/>
      <c r="E1660" s="86"/>
      <c r="F1660" s="86"/>
      <c r="G1660" s="86"/>
      <c r="H1660" s="86"/>
      <c r="I1660" s="55"/>
      <c r="J1660" s="56"/>
      <c r="K1660" s="56"/>
      <c r="L1660" s="56"/>
      <c r="M1660" s="87" t="s">
        <v>134</v>
      </c>
      <c r="N1660" s="56"/>
      <c r="O1660" s="56"/>
      <c r="P1660" s="56"/>
      <c r="Q1660" s="56"/>
    </row>
    <row r="1661" spans="1:21" ht="15" customHeight="1" x14ac:dyDescent="0.3">
      <c r="A1661" s="42"/>
      <c r="B1661" s="59" t="s">
        <v>511</v>
      </c>
      <c r="C1661" s="60"/>
      <c r="D1661" s="59"/>
      <c r="E1661" s="59"/>
      <c r="F1661" s="59"/>
      <c r="G1661" s="59"/>
      <c r="H1661" s="59"/>
      <c r="I1661" s="61"/>
      <c r="J1661" s="62"/>
      <c r="K1661" s="62"/>
      <c r="L1661" s="62"/>
      <c r="M1661" s="62"/>
      <c r="N1661" s="62"/>
      <c r="O1661" s="62"/>
      <c r="P1661" s="62"/>
      <c r="Q1661" s="62"/>
    </row>
    <row r="1662" spans="1:21" ht="23.25" customHeight="1" x14ac:dyDescent="0.3">
      <c r="B1662" s="63"/>
      <c r="C1662" s="64"/>
      <c r="D1662" s="63"/>
      <c r="E1662" s="63"/>
      <c r="F1662" s="63"/>
      <c r="G1662" s="63"/>
      <c r="H1662" s="63"/>
      <c r="I1662" s="48"/>
      <c r="J1662" s="49"/>
      <c r="K1662" s="49"/>
      <c r="L1662" s="49"/>
      <c r="M1662" s="49"/>
      <c r="N1662" s="49"/>
      <c r="O1662" s="49"/>
      <c r="P1662" s="49"/>
      <c r="Q1662" s="49"/>
    </row>
    <row r="1663" spans="1:21" ht="29.1" customHeight="1" x14ac:dyDescent="0.25">
      <c r="A1663" s="127" t="s">
        <v>951</v>
      </c>
      <c r="B1663" s="77"/>
      <c r="C1663" s="187" t="s">
        <v>41</v>
      </c>
      <c r="D1663" s="187"/>
      <c r="E1663" s="187"/>
      <c r="F1663" s="187"/>
      <c r="G1663" s="187"/>
      <c r="H1663" s="187"/>
      <c r="I1663" s="78" t="s">
        <v>42</v>
      </c>
      <c r="J1663" s="41" t="s">
        <v>43</v>
      </c>
      <c r="K1663" s="41">
        <v>1000</v>
      </c>
      <c r="L1663" s="41">
        <v>2000</v>
      </c>
      <c r="M1663" s="41">
        <v>3000</v>
      </c>
      <c r="N1663" s="41">
        <v>4000</v>
      </c>
      <c r="O1663" s="41">
        <v>5000</v>
      </c>
      <c r="P1663" s="41">
        <v>6000</v>
      </c>
      <c r="Q1663" s="41">
        <v>7000</v>
      </c>
    </row>
    <row r="1664" spans="1:21" ht="15" customHeight="1" x14ac:dyDescent="0.3">
      <c r="A1664" s="42"/>
      <c r="B1664" s="43" t="s">
        <v>952</v>
      </c>
      <c r="C1664" s="44" t="s">
        <v>45</v>
      </c>
      <c r="D1664" s="47">
        <v>2</v>
      </c>
      <c r="E1664" s="46" t="s">
        <v>47</v>
      </c>
      <c r="F1664" s="47">
        <v>0.97</v>
      </c>
      <c r="G1664" s="46" t="s">
        <v>48</v>
      </c>
      <c r="H1664" s="47">
        <v>0.98</v>
      </c>
      <c r="I1664" s="48">
        <v>14</v>
      </c>
      <c r="J1664" s="49">
        <f>ROUND((3171*$T$1),0)*1.05</f>
        <v>3329.55</v>
      </c>
      <c r="K1664" s="49">
        <f>ROUND((3374*$T$1),0)*1.05</f>
        <v>3542.7000000000003</v>
      </c>
      <c r="L1664" s="49">
        <f>ROUND((3652*$T$1),0)*1.05</f>
        <v>3834.6000000000004</v>
      </c>
      <c r="M1664" s="49">
        <f>ROUND((3931*$T$1),0)*1.05</f>
        <v>4127.55</v>
      </c>
      <c r="N1664" s="49">
        <f>ROUND((4211*$T$1),0)*1.05</f>
        <v>4421.55</v>
      </c>
      <c r="O1664" s="49">
        <f>ROUND((4491*$T$1),0)*1.05</f>
        <v>4715.55</v>
      </c>
      <c r="P1664" s="49">
        <f>ROUND((4771*$T$1),0)*1.05</f>
        <v>5009.55</v>
      </c>
      <c r="Q1664" s="49">
        <f>ROUND((5051*$T$1),0)*1.05</f>
        <v>5303.55</v>
      </c>
      <c r="R1664" s="33"/>
      <c r="S1664" s="33"/>
      <c r="T1664" s="33"/>
      <c r="U1664" s="33"/>
    </row>
    <row r="1665" spans="1:21" ht="15" customHeight="1" x14ac:dyDescent="0.3">
      <c r="A1665" s="42"/>
      <c r="B1665" s="43" t="s">
        <v>953</v>
      </c>
      <c r="C1665" s="44" t="s">
        <v>45</v>
      </c>
      <c r="D1665" s="47">
        <v>2.2000000000000002</v>
      </c>
      <c r="E1665" s="46" t="s">
        <v>47</v>
      </c>
      <c r="F1665" s="47">
        <v>0.97</v>
      </c>
      <c r="G1665" s="46" t="s">
        <v>48</v>
      </c>
      <c r="H1665" s="47">
        <v>0.98</v>
      </c>
      <c r="I1665" s="48">
        <v>14.5</v>
      </c>
      <c r="J1665" s="49">
        <f>ROUND((3338*$T$1),0)*1.05</f>
        <v>3504.9</v>
      </c>
      <c r="K1665" s="49">
        <f>ROUND((3551*$T$1),0)*1.05</f>
        <v>3728.55</v>
      </c>
      <c r="L1665" s="49">
        <f>ROUND((3844*$T$1),0)*1.05</f>
        <v>4036.2000000000003</v>
      </c>
      <c r="M1665" s="49">
        <f>ROUND((4139*$T$1),0)*1.05</f>
        <v>4345.95</v>
      </c>
      <c r="N1665" s="49">
        <f>ROUND((4432*$T$1),0)*1.05</f>
        <v>4653.6000000000004</v>
      </c>
      <c r="O1665" s="49">
        <f>ROUND((4726*$T$1),0)*1.05</f>
        <v>4962.3</v>
      </c>
      <c r="P1665" s="49">
        <f>ROUND((5019*$T$1),0)*1.05</f>
        <v>5269.95</v>
      </c>
      <c r="Q1665" s="49">
        <f>ROUND((5312*$T$1),0)*1.05</f>
        <v>5577.6</v>
      </c>
      <c r="R1665" s="33"/>
      <c r="S1665" s="33"/>
      <c r="T1665" s="33"/>
      <c r="U1665" s="33"/>
    </row>
    <row r="1666" spans="1:21" ht="15" customHeight="1" x14ac:dyDescent="0.3">
      <c r="A1666" s="42"/>
      <c r="B1666" s="43" t="s">
        <v>954</v>
      </c>
      <c r="C1666" s="44" t="s">
        <v>45</v>
      </c>
      <c r="D1666" s="47">
        <v>2.4</v>
      </c>
      <c r="E1666" s="46" t="s">
        <v>47</v>
      </c>
      <c r="F1666" s="47">
        <v>0.97</v>
      </c>
      <c r="G1666" s="46" t="s">
        <v>48</v>
      </c>
      <c r="H1666" s="47">
        <v>0.98</v>
      </c>
      <c r="I1666" s="48">
        <v>15</v>
      </c>
      <c r="J1666" s="49">
        <f>ROUND((3513*$T$1),0)*1.05</f>
        <v>3688.65</v>
      </c>
      <c r="K1666" s="49">
        <f>ROUND((3738*$T$1),0)*1.05</f>
        <v>3924.9</v>
      </c>
      <c r="L1666" s="49">
        <f>ROUND((4046*$T$1),0)*1.05</f>
        <v>4248.3</v>
      </c>
      <c r="M1666" s="49">
        <f>ROUND((4359*$T$1),0)*1.05</f>
        <v>4576.95</v>
      </c>
      <c r="N1666" s="49">
        <f>ROUND((4666*$T$1),0)*1.05</f>
        <v>4899.3</v>
      </c>
      <c r="O1666" s="49">
        <f>ROUND((4975*$T$1),0)*1.05</f>
        <v>5223.75</v>
      </c>
      <c r="P1666" s="49">
        <f>ROUND((5285*$T$1),0)*1.05</f>
        <v>5549.25</v>
      </c>
      <c r="Q1666" s="49">
        <f>ROUND((5595*$T$1),0)*1.05</f>
        <v>5874.75</v>
      </c>
      <c r="R1666" s="33"/>
      <c r="S1666" s="33"/>
      <c r="T1666" s="33"/>
      <c r="U1666" s="33"/>
    </row>
    <row r="1667" spans="1:21" ht="15" customHeight="1" x14ac:dyDescent="0.3">
      <c r="A1667" s="42"/>
      <c r="B1667" s="43" t="s">
        <v>955</v>
      </c>
      <c r="C1667" s="44" t="s">
        <v>45</v>
      </c>
      <c r="D1667" s="47">
        <v>2.6</v>
      </c>
      <c r="E1667" s="46" t="s">
        <v>47</v>
      </c>
      <c r="F1667" s="47">
        <v>0.97</v>
      </c>
      <c r="G1667" s="46" t="s">
        <v>48</v>
      </c>
      <c r="H1667" s="47">
        <v>0.98</v>
      </c>
      <c r="I1667" s="48">
        <v>15.5</v>
      </c>
      <c r="J1667" s="49">
        <f>ROUND((3698*$T$1),0)*1.05</f>
        <v>3882.9</v>
      </c>
      <c r="K1667" s="49">
        <f>ROUND((3934*$T$1),0)*1.05</f>
        <v>4130.7</v>
      </c>
      <c r="L1667" s="49">
        <f>ROUND((4259*$T$1),0)*1.05</f>
        <v>4471.95</v>
      </c>
      <c r="M1667" s="49">
        <f>ROUND((4586*$T$1),0)*1.05</f>
        <v>4815.3</v>
      </c>
      <c r="N1667" s="49">
        <f>ROUND((4912*$T$1),0)*1.05</f>
        <v>5157.6000000000004</v>
      </c>
      <c r="O1667" s="49">
        <f>ROUND((5236*$T$1),0)*1.05</f>
        <v>5497.8</v>
      </c>
      <c r="P1667" s="49">
        <f>ROUND((5562*$T$1),0)*1.05</f>
        <v>5840.1</v>
      </c>
      <c r="Q1667" s="49">
        <f>ROUND((5888*$T$1),0)*1.05</f>
        <v>6182.4000000000005</v>
      </c>
      <c r="R1667" s="33"/>
      <c r="S1667" s="33"/>
      <c r="T1667" s="33"/>
      <c r="U1667" s="33"/>
    </row>
    <row r="1668" spans="1:21" ht="15" customHeight="1" x14ac:dyDescent="0.3">
      <c r="A1668" s="42"/>
      <c r="B1668" s="43" t="s">
        <v>956</v>
      </c>
      <c r="C1668" s="44" t="s">
        <v>45</v>
      </c>
      <c r="D1668" s="47">
        <v>2.8</v>
      </c>
      <c r="E1668" s="46" t="s">
        <v>47</v>
      </c>
      <c r="F1668" s="47">
        <v>0.97</v>
      </c>
      <c r="G1668" s="46" t="s">
        <v>48</v>
      </c>
      <c r="H1668" s="47">
        <v>0.98</v>
      </c>
      <c r="I1668" s="48">
        <v>16</v>
      </c>
      <c r="J1668" s="49">
        <f>ROUND((3884*$T$1),0)*1.05</f>
        <v>4078.2000000000003</v>
      </c>
      <c r="K1668" s="49">
        <f>ROUND((4131*$T$1),0)*1.05</f>
        <v>4337.55</v>
      </c>
      <c r="L1668" s="49">
        <f>ROUND((4472*$T$1),0)*1.05</f>
        <v>4695.6000000000004</v>
      </c>
      <c r="M1668" s="49">
        <f>ROUND((4813*$T$1),0)*1.05</f>
        <v>5053.6500000000005</v>
      </c>
      <c r="N1668" s="49">
        <f>ROUND((5157*$T$1),0)*1.05</f>
        <v>5414.85</v>
      </c>
      <c r="O1668" s="49">
        <f>ROUND((5499*$T$1),0)*1.05</f>
        <v>5773.95</v>
      </c>
      <c r="P1668" s="49">
        <f>ROUND((5843*$T$1),0)*1.05</f>
        <v>6135.1500000000005</v>
      </c>
      <c r="Q1668" s="49">
        <f>ROUND((6187*$T$1),0)*1.05</f>
        <v>6496.35</v>
      </c>
      <c r="R1668" s="33"/>
      <c r="S1668" s="33"/>
      <c r="T1668" s="33"/>
      <c r="U1668" s="33"/>
    </row>
    <row r="1669" spans="1:21" ht="15" customHeight="1" x14ac:dyDescent="0.3">
      <c r="A1669" s="42"/>
      <c r="B1669" s="86"/>
      <c r="C1669" s="119"/>
      <c r="D1669" s="86"/>
      <c r="E1669" s="86"/>
      <c r="F1669" s="86"/>
      <c r="G1669" s="86"/>
      <c r="H1669" s="86"/>
      <c r="I1669" s="55"/>
      <c r="J1669" s="56"/>
      <c r="K1669" s="56"/>
      <c r="L1669" s="56"/>
      <c r="M1669" s="56"/>
      <c r="N1669" s="56"/>
      <c r="O1669" s="56"/>
      <c r="P1669" s="56"/>
      <c r="Q1669" s="56"/>
    </row>
    <row r="1670" spans="1:21" ht="15" customHeight="1" x14ac:dyDescent="0.3">
      <c r="A1670" s="42"/>
      <c r="B1670" s="86"/>
      <c r="C1670" s="119"/>
      <c r="D1670" s="86"/>
      <c r="E1670" s="86"/>
      <c r="F1670" s="86"/>
      <c r="G1670" s="86"/>
      <c r="H1670" s="86"/>
      <c r="I1670" s="55"/>
      <c r="J1670" s="56"/>
      <c r="K1670" s="56"/>
      <c r="L1670" s="56"/>
      <c r="M1670" s="87" t="s">
        <v>134</v>
      </c>
      <c r="N1670" s="56"/>
      <c r="O1670" s="56"/>
      <c r="P1670" s="56"/>
      <c r="Q1670" s="56"/>
    </row>
    <row r="1671" spans="1:21" ht="15" customHeight="1" x14ac:dyDescent="0.3">
      <c r="A1671" s="42"/>
      <c r="B1671" s="59" t="s">
        <v>511</v>
      </c>
      <c r="C1671" s="60"/>
      <c r="D1671" s="59"/>
      <c r="E1671" s="59"/>
      <c r="F1671" s="59"/>
      <c r="G1671" s="59"/>
      <c r="H1671" s="59"/>
      <c r="I1671" s="61"/>
      <c r="J1671" s="62"/>
      <c r="K1671" s="62"/>
      <c r="L1671" s="62"/>
      <c r="M1671" s="62"/>
      <c r="N1671" s="62"/>
      <c r="O1671" s="62"/>
      <c r="P1671" s="62"/>
      <c r="Q1671" s="62"/>
    </row>
    <row r="1673" spans="1:21" ht="29.1" customHeight="1" x14ac:dyDescent="0.25">
      <c r="A1673" s="127" t="s">
        <v>957</v>
      </c>
      <c r="B1673" s="77"/>
      <c r="C1673" s="187" t="s">
        <v>41</v>
      </c>
      <c r="D1673" s="187"/>
      <c r="E1673" s="187"/>
      <c r="F1673" s="187"/>
      <c r="G1673" s="187"/>
      <c r="H1673" s="187"/>
      <c r="I1673" s="78" t="s">
        <v>42</v>
      </c>
      <c r="J1673" s="41" t="s">
        <v>43</v>
      </c>
      <c r="K1673" s="41">
        <v>1000</v>
      </c>
      <c r="L1673" s="41">
        <v>2000</v>
      </c>
      <c r="M1673" s="41">
        <v>3000</v>
      </c>
      <c r="N1673" s="41">
        <v>4000</v>
      </c>
      <c r="O1673" s="41">
        <v>5000</v>
      </c>
      <c r="P1673" s="41">
        <v>6000</v>
      </c>
      <c r="Q1673" s="41">
        <v>7000</v>
      </c>
    </row>
    <row r="1674" spans="1:21" ht="15" customHeight="1" x14ac:dyDescent="0.3">
      <c r="A1674" s="42"/>
      <c r="B1674" s="43" t="s">
        <v>958</v>
      </c>
      <c r="C1674" s="44" t="s">
        <v>45</v>
      </c>
      <c r="D1674" s="47">
        <v>1.84</v>
      </c>
      <c r="E1674" s="46" t="s">
        <v>47</v>
      </c>
      <c r="F1674" s="47">
        <v>0.97</v>
      </c>
      <c r="G1674" s="46" t="s">
        <v>48</v>
      </c>
      <c r="H1674" s="47">
        <v>0.98</v>
      </c>
      <c r="I1674" s="48">
        <v>13</v>
      </c>
      <c r="J1674" s="49">
        <f>ROUND((3269*$T$1),0)*1.05</f>
        <v>3432.4500000000003</v>
      </c>
      <c r="K1674" s="49">
        <f>ROUND((3478*$T$1),0)*1.05</f>
        <v>3651.9</v>
      </c>
      <c r="L1674" s="49">
        <f>ROUND((3765*$T$1),0)*1.05</f>
        <v>3953.25</v>
      </c>
      <c r="M1674" s="49">
        <f>ROUND((4053*$T$1),0)*1.05</f>
        <v>4255.6500000000005</v>
      </c>
      <c r="N1674" s="49">
        <f>ROUND((4340*$T$1),0)*1.05</f>
        <v>4557</v>
      </c>
      <c r="O1674" s="49">
        <f>ROUND((4629*$T$1),0)*1.05</f>
        <v>4860.45</v>
      </c>
      <c r="P1674" s="49">
        <f>ROUND((4917*$T$1),0)*1.05</f>
        <v>5162.8500000000004</v>
      </c>
      <c r="Q1674" s="49">
        <f>ROUND((5205*$T$1),0)*1.05</f>
        <v>5465.25</v>
      </c>
      <c r="R1674" s="33"/>
      <c r="S1674" s="33"/>
      <c r="T1674" s="33"/>
      <c r="U1674" s="33"/>
    </row>
    <row r="1675" spans="1:21" ht="15" customHeight="1" x14ac:dyDescent="0.3">
      <c r="A1675" s="42"/>
      <c r="B1675" s="43" t="s">
        <v>959</v>
      </c>
      <c r="C1675" s="44" t="s">
        <v>45</v>
      </c>
      <c r="D1675" s="47">
        <v>2.04</v>
      </c>
      <c r="E1675" s="46" t="s">
        <v>47</v>
      </c>
      <c r="F1675" s="47">
        <v>0.97</v>
      </c>
      <c r="G1675" s="46" t="s">
        <v>48</v>
      </c>
      <c r="H1675" s="47">
        <v>0.98</v>
      </c>
      <c r="I1675" s="48">
        <v>13.5</v>
      </c>
      <c r="J1675" s="49">
        <f>ROUND((3441*$T$1),0)*1.05</f>
        <v>3613.05</v>
      </c>
      <c r="K1675" s="49">
        <f>ROUND((3661*$T$1),0)*1.05</f>
        <v>3844.05</v>
      </c>
      <c r="L1675" s="49">
        <f>ROUND((3963*$T$1),0)*1.05</f>
        <v>4161.1500000000005</v>
      </c>
      <c r="M1675" s="49">
        <f>ROUND((4266*$T$1),0)*1.05</f>
        <v>4479.3</v>
      </c>
      <c r="N1675" s="49">
        <f>ROUND((4569*$T$1),0)*1.05</f>
        <v>4797.45</v>
      </c>
      <c r="O1675" s="49">
        <f>ROUND((4872*$T$1),0)*1.05</f>
        <v>5115.6000000000004</v>
      </c>
      <c r="P1675" s="49">
        <f>ROUND((5175*$T$1),0)*1.05</f>
        <v>5433.75</v>
      </c>
      <c r="Q1675" s="49">
        <f>ROUND((5478*$T$1),0)*1.05</f>
        <v>5751.9000000000005</v>
      </c>
      <c r="R1675" s="33"/>
      <c r="S1675" s="33"/>
      <c r="T1675" s="33"/>
      <c r="U1675" s="33"/>
    </row>
    <row r="1676" spans="1:21" ht="15" customHeight="1" x14ac:dyDescent="0.3">
      <c r="A1676" s="42"/>
      <c r="B1676" s="43" t="s">
        <v>960</v>
      </c>
      <c r="C1676" s="44" t="s">
        <v>45</v>
      </c>
      <c r="D1676" s="47">
        <v>2.2400000000000002</v>
      </c>
      <c r="E1676" s="46" t="s">
        <v>47</v>
      </c>
      <c r="F1676" s="47">
        <v>0.97</v>
      </c>
      <c r="G1676" s="46" t="s">
        <v>48</v>
      </c>
      <c r="H1676" s="47">
        <v>0.98</v>
      </c>
      <c r="I1676" s="48">
        <v>14</v>
      </c>
      <c r="J1676" s="49">
        <f>ROUND((3622*$T$1),0)*1.05</f>
        <v>3803.1000000000004</v>
      </c>
      <c r="K1676" s="49">
        <f>ROUND((3853*$T$1),0)*1.05</f>
        <v>4045.65</v>
      </c>
      <c r="L1676" s="49">
        <f>ROUND((4171*$T$1),0)*1.05</f>
        <v>4379.55</v>
      </c>
      <c r="M1676" s="49">
        <f>ROUND((4491*$T$1),0)*1.05</f>
        <v>4715.55</v>
      </c>
      <c r="N1676" s="49">
        <f>ROUND((4810*$T$1),0)*1.05</f>
        <v>5050.5</v>
      </c>
      <c r="O1676" s="49">
        <f>ROUND((5128*$T$1),0)*1.05</f>
        <v>5384.4000000000005</v>
      </c>
      <c r="P1676" s="49">
        <f>ROUND((5447*$T$1),0)*1.05</f>
        <v>5719.35</v>
      </c>
      <c r="Q1676" s="49">
        <f>ROUND((5766*$T$1),0)*1.05</f>
        <v>6054.3</v>
      </c>
      <c r="R1676" s="33"/>
      <c r="S1676" s="33"/>
      <c r="T1676" s="33"/>
      <c r="U1676" s="33"/>
    </row>
    <row r="1677" spans="1:21" ht="15" customHeight="1" x14ac:dyDescent="0.3">
      <c r="A1677" s="42"/>
      <c r="B1677" s="43" t="s">
        <v>961</v>
      </c>
      <c r="C1677" s="44" t="s">
        <v>45</v>
      </c>
      <c r="D1677" s="47">
        <v>2.44</v>
      </c>
      <c r="E1677" s="46" t="s">
        <v>47</v>
      </c>
      <c r="F1677" s="47">
        <v>0.97</v>
      </c>
      <c r="G1677" s="46" t="s">
        <v>48</v>
      </c>
      <c r="H1677" s="47">
        <v>0.98</v>
      </c>
      <c r="I1677" s="48">
        <v>15</v>
      </c>
      <c r="J1677" s="49">
        <f>ROUND((3813*$T$1),0)*1.05</f>
        <v>4003.65</v>
      </c>
      <c r="K1677" s="49">
        <f>ROUND((4056*$T$1),0)*1.05</f>
        <v>4258.8</v>
      </c>
      <c r="L1677" s="49">
        <f>ROUND((4391*$T$1),0)*1.05</f>
        <v>4610.55</v>
      </c>
      <c r="M1677" s="49">
        <f>ROUND((4757*$T$1),0)*1.05</f>
        <v>4994.8500000000004</v>
      </c>
      <c r="N1677" s="49">
        <f>ROUND((5063*$T$1),0)*1.05</f>
        <v>5316.1500000000005</v>
      </c>
      <c r="O1677" s="49">
        <f>ROUND((5399*$T$1),0)*1.05</f>
        <v>5668.95</v>
      </c>
      <c r="P1677" s="49">
        <f>ROUND((5735*$T$1),0)*1.05</f>
        <v>6021.75</v>
      </c>
      <c r="Q1677" s="49">
        <f>ROUND((6071*$T$1),0)*1.05</f>
        <v>6374.55</v>
      </c>
      <c r="R1677" s="33"/>
      <c r="S1677" s="33"/>
      <c r="T1677" s="33"/>
      <c r="U1677" s="33"/>
    </row>
    <row r="1678" spans="1:21" ht="15" customHeight="1" x14ac:dyDescent="0.3">
      <c r="A1678" s="42"/>
      <c r="B1678" s="43" t="s">
        <v>962</v>
      </c>
      <c r="C1678" s="44" t="s">
        <v>45</v>
      </c>
      <c r="D1678" s="47">
        <v>2.64</v>
      </c>
      <c r="E1678" s="46" t="s">
        <v>47</v>
      </c>
      <c r="F1678" s="47">
        <v>0.97</v>
      </c>
      <c r="G1678" s="46" t="s">
        <v>48</v>
      </c>
      <c r="H1678" s="47">
        <v>0.98</v>
      </c>
      <c r="I1678" s="48">
        <v>16</v>
      </c>
      <c r="J1678" s="49">
        <f>ROUND((4004*$T$1),0)*1.05</f>
        <v>4204.2</v>
      </c>
      <c r="K1678" s="49">
        <f>ROUND((4259*$T$1),0)*1.05</f>
        <v>4471.95</v>
      </c>
      <c r="L1678" s="49">
        <f>ROUND((4611*$T$1),0)*1.05</f>
        <v>4841.55</v>
      </c>
      <c r="M1678" s="49">
        <f>ROUND((4963*$T$1),0)*1.05</f>
        <v>5211.1500000000005</v>
      </c>
      <c r="N1678" s="49">
        <f>ROUND((5316*$T$1),0)*1.05</f>
        <v>5581.8</v>
      </c>
      <c r="O1678" s="49">
        <f>ROUND((5669*$T$1),0)*1.05</f>
        <v>5952.45</v>
      </c>
      <c r="P1678" s="49">
        <f>ROUND((6022*$T$1),0)*1.05</f>
        <v>6323.1</v>
      </c>
      <c r="Q1678" s="49">
        <f>ROUND((6375*$T$1),0)*1.05</f>
        <v>6693.75</v>
      </c>
      <c r="R1678" s="33"/>
      <c r="S1678" s="33"/>
      <c r="T1678" s="33"/>
      <c r="U1678" s="33"/>
    </row>
    <row r="1679" spans="1:21" ht="15" customHeight="1" x14ac:dyDescent="0.3">
      <c r="A1679" s="42"/>
      <c r="B1679" s="43"/>
      <c r="C1679" s="44"/>
      <c r="D1679" s="47"/>
      <c r="E1679" s="46"/>
      <c r="F1679" s="47"/>
      <c r="G1679" s="46"/>
      <c r="H1679" s="47"/>
      <c r="I1679" s="48"/>
      <c r="J1679" s="49"/>
      <c r="K1679" s="49"/>
      <c r="L1679" s="49"/>
      <c r="M1679" s="49"/>
      <c r="N1679" s="49"/>
      <c r="O1679" s="49"/>
      <c r="P1679" s="49"/>
      <c r="Q1679" s="49"/>
      <c r="R1679" s="33"/>
      <c r="S1679" s="33"/>
      <c r="T1679" s="33"/>
      <c r="U1679" s="33"/>
    </row>
    <row r="1680" spans="1:21" ht="15" customHeight="1" x14ac:dyDescent="0.3">
      <c r="A1680" s="42"/>
      <c r="B1680" s="86"/>
      <c r="C1680" s="119"/>
      <c r="D1680" s="86"/>
      <c r="E1680" s="86"/>
      <c r="F1680" s="86"/>
      <c r="G1680" s="86"/>
      <c r="H1680" s="86"/>
      <c r="I1680" s="55"/>
      <c r="J1680" s="56"/>
      <c r="K1680" s="56"/>
      <c r="L1680" s="56"/>
      <c r="M1680" s="87" t="s">
        <v>134</v>
      </c>
      <c r="N1680" s="56"/>
      <c r="O1680" s="56"/>
      <c r="P1680" s="56"/>
      <c r="Q1680" s="56"/>
    </row>
    <row r="1681" spans="1:21" ht="15" customHeight="1" x14ac:dyDescent="0.3">
      <c r="A1681" s="42"/>
      <c r="B1681" s="59" t="s">
        <v>511</v>
      </c>
      <c r="C1681" s="60"/>
      <c r="D1681" s="59"/>
      <c r="E1681" s="59"/>
      <c r="F1681" s="59"/>
      <c r="G1681" s="59"/>
      <c r="H1681" s="59"/>
      <c r="I1681" s="61"/>
      <c r="J1681" s="62"/>
      <c r="K1681" s="62"/>
      <c r="L1681" s="62"/>
      <c r="M1681" s="62"/>
      <c r="N1681" s="62"/>
      <c r="O1681" s="62"/>
      <c r="P1681" s="62"/>
      <c r="Q1681" s="62"/>
    </row>
    <row r="1683" spans="1:21" ht="29.1" customHeight="1" x14ac:dyDescent="0.25">
      <c r="A1683" s="127" t="s">
        <v>963</v>
      </c>
      <c r="B1683" s="77"/>
      <c r="C1683" s="187" t="s">
        <v>41</v>
      </c>
      <c r="D1683" s="187"/>
      <c r="E1683" s="187"/>
      <c r="F1683" s="187"/>
      <c r="G1683" s="187"/>
      <c r="H1683" s="187"/>
      <c r="I1683" s="78" t="s">
        <v>42</v>
      </c>
      <c r="J1683" s="41" t="s">
        <v>43</v>
      </c>
      <c r="K1683" s="41">
        <v>1000</v>
      </c>
      <c r="L1683" s="41">
        <v>2000</v>
      </c>
      <c r="M1683" s="41">
        <v>3000</v>
      </c>
      <c r="N1683" s="41">
        <v>4000</v>
      </c>
      <c r="O1683" s="41">
        <v>5000</v>
      </c>
      <c r="P1683" s="41">
        <v>6000</v>
      </c>
      <c r="Q1683" s="41">
        <v>7000</v>
      </c>
    </row>
    <row r="1684" spans="1:21" ht="15" customHeight="1" x14ac:dyDescent="0.3">
      <c r="A1684" s="42"/>
      <c r="B1684" s="43" t="s">
        <v>964</v>
      </c>
      <c r="C1684" s="44" t="s">
        <v>45</v>
      </c>
      <c r="D1684" s="47">
        <v>0.92</v>
      </c>
      <c r="E1684" s="46" t="s">
        <v>47</v>
      </c>
      <c r="F1684" s="47">
        <v>1.22</v>
      </c>
      <c r="G1684" s="46" t="s">
        <v>48</v>
      </c>
      <c r="H1684" s="47">
        <v>0.98</v>
      </c>
      <c r="I1684" s="48">
        <v>12</v>
      </c>
      <c r="J1684" s="49">
        <f>ROUND((2534*$T$1),0)*1.05</f>
        <v>2660.7000000000003</v>
      </c>
      <c r="K1684" s="49">
        <f>ROUND((2696*$T$1),0)*1.05</f>
        <v>2830.8</v>
      </c>
      <c r="L1684" s="49">
        <f>ROUND((2900*$T$1),0)*1.05</f>
        <v>3045</v>
      </c>
      <c r="M1684" s="49">
        <f>ROUND((3104*$T$1),0)*1.05</f>
        <v>3259.2000000000003</v>
      </c>
      <c r="N1684" s="49">
        <f>ROUND((3309*$T$1),0)*1.05</f>
        <v>3474.4500000000003</v>
      </c>
      <c r="O1684" s="49">
        <f>ROUND((3515*$T$1),0)*1.05</f>
        <v>3690.75</v>
      </c>
      <c r="P1684" s="49">
        <f>ROUND((3721*$T$1),0)*1.05</f>
        <v>3907.05</v>
      </c>
      <c r="Q1684" s="49">
        <f>ROUND((3927*$T$1),0)*1.05</f>
        <v>4123.3500000000004</v>
      </c>
      <c r="R1684" s="33"/>
      <c r="S1684" s="33"/>
      <c r="T1684" s="33"/>
      <c r="U1684" s="33"/>
    </row>
    <row r="1685" spans="1:21" ht="15" customHeight="1" x14ac:dyDescent="0.3">
      <c r="A1685" s="42"/>
      <c r="B1685" s="43" t="s">
        <v>965</v>
      </c>
      <c r="C1685" s="44" t="s">
        <v>45</v>
      </c>
      <c r="D1685" s="47">
        <v>1.02</v>
      </c>
      <c r="E1685" s="46" t="s">
        <v>47</v>
      </c>
      <c r="F1685" s="47">
        <v>1.22</v>
      </c>
      <c r="G1685" s="46" t="s">
        <v>48</v>
      </c>
      <c r="H1685" s="47">
        <v>0.98</v>
      </c>
      <c r="I1685" s="48">
        <v>12.5</v>
      </c>
      <c r="J1685" s="49">
        <f>ROUND((2667*$T$1),0)*1.05</f>
        <v>2800.35</v>
      </c>
      <c r="K1685" s="49">
        <f>ROUND((2837*$T$1),0)*1.05</f>
        <v>2978.85</v>
      </c>
      <c r="L1685" s="49">
        <f>ROUND((3053*$T$1),0)*1.05</f>
        <v>3205.65</v>
      </c>
      <c r="M1685" s="49">
        <f>ROUND((3269*$T$1),0)*1.05</f>
        <v>3432.4500000000003</v>
      </c>
      <c r="N1685" s="49">
        <f>ROUND((3484*$T$1),0)*1.05</f>
        <v>3658.2000000000003</v>
      </c>
      <c r="O1685" s="49">
        <f>ROUND((3701*$T$1),0)*1.05</f>
        <v>3886.05</v>
      </c>
      <c r="P1685" s="49">
        <f>ROUND((3918*$T$1),0)*1.05</f>
        <v>4113.9000000000005</v>
      </c>
      <c r="Q1685" s="49">
        <f>ROUND((4135*$T$1),0)*1.05</f>
        <v>4341.75</v>
      </c>
      <c r="R1685" s="33"/>
      <c r="S1685" s="33"/>
      <c r="T1685" s="33"/>
      <c r="U1685" s="33"/>
    </row>
    <row r="1686" spans="1:21" ht="15" customHeight="1" x14ac:dyDescent="0.3">
      <c r="A1686" s="42"/>
      <c r="B1686" s="43" t="s">
        <v>966</v>
      </c>
      <c r="C1686" s="44" t="s">
        <v>45</v>
      </c>
      <c r="D1686" s="47">
        <v>1.1200000000000001</v>
      </c>
      <c r="E1686" s="46" t="s">
        <v>47</v>
      </c>
      <c r="F1686" s="47">
        <v>1.22</v>
      </c>
      <c r="G1686" s="46" t="s">
        <v>48</v>
      </c>
      <c r="H1686" s="47">
        <v>0.98</v>
      </c>
      <c r="I1686" s="48">
        <v>13</v>
      </c>
      <c r="J1686" s="49">
        <f>ROUND((2808*$T$1),0)*1.05</f>
        <v>2948.4</v>
      </c>
      <c r="K1686" s="49">
        <f>ROUND((2987*$T$1),0)*1.05</f>
        <v>3136.35</v>
      </c>
      <c r="L1686" s="49">
        <f>ROUND((3213*$T$1),0)*1.05</f>
        <v>3373.65</v>
      </c>
      <c r="M1686" s="49">
        <f>ROUND((3440*$T$1),0)*1.05</f>
        <v>3612</v>
      </c>
      <c r="N1686" s="49">
        <f>ROUND((3667*$T$1),0)*1.05</f>
        <v>3850.3500000000004</v>
      </c>
      <c r="O1686" s="49">
        <f>ROUND((3895*$T$1),0)*1.05</f>
        <v>4089.75</v>
      </c>
      <c r="P1686" s="49">
        <f>ROUND((4122*$T$1),0)*1.05</f>
        <v>4328.1000000000004</v>
      </c>
      <c r="Q1686" s="49">
        <f>ROUND((4349*$T$1),0)*1.05</f>
        <v>4566.45</v>
      </c>
      <c r="R1686" s="33"/>
      <c r="S1686" s="33"/>
      <c r="T1686" s="33"/>
      <c r="U1686" s="33"/>
    </row>
    <row r="1687" spans="1:21" ht="15" customHeight="1" x14ac:dyDescent="0.3">
      <c r="A1687" s="42"/>
      <c r="B1687" s="43" t="s">
        <v>967</v>
      </c>
      <c r="C1687" s="44" t="s">
        <v>45</v>
      </c>
      <c r="D1687" s="47">
        <v>1.22</v>
      </c>
      <c r="E1687" s="46" t="s">
        <v>47</v>
      </c>
      <c r="F1687" s="47">
        <v>1.22</v>
      </c>
      <c r="G1687" s="46" t="s">
        <v>48</v>
      </c>
      <c r="H1687" s="47">
        <v>0.98</v>
      </c>
      <c r="I1687" s="48">
        <v>13.5</v>
      </c>
      <c r="J1687" s="49">
        <f>ROUND((2948*$T$1),0)*1.05</f>
        <v>3095.4</v>
      </c>
      <c r="K1687" s="49">
        <f>ROUND((3136*$T$1),0)*1.05</f>
        <v>3292.8</v>
      </c>
      <c r="L1687" s="49">
        <f>ROUND((3375*$T$1),0)*1.05</f>
        <v>3543.75</v>
      </c>
      <c r="M1687" s="49">
        <f>ROUND((3612*$T$1),0)*1.05</f>
        <v>3792.6000000000004</v>
      </c>
      <c r="N1687" s="49">
        <f>ROUND((3851*$T$1),0)*1.05</f>
        <v>4043.55</v>
      </c>
      <c r="O1687" s="49">
        <f>ROUND((4091*$T$1),0)*1.05</f>
        <v>4295.55</v>
      </c>
      <c r="P1687" s="49">
        <f>ROUND((4330*$T$1),0)*1.05</f>
        <v>4546.5</v>
      </c>
      <c r="Q1687" s="49">
        <f>ROUND((4569*$T$1),0)*1.05</f>
        <v>4797.45</v>
      </c>
      <c r="R1687" s="33"/>
      <c r="S1687" s="33"/>
      <c r="T1687" s="33"/>
      <c r="U1687" s="33"/>
    </row>
    <row r="1688" spans="1:21" ht="15" customHeight="1" x14ac:dyDescent="0.3">
      <c r="A1688" s="42"/>
      <c r="B1688" s="43" t="s">
        <v>968</v>
      </c>
      <c r="C1688" s="44" t="s">
        <v>45</v>
      </c>
      <c r="D1688" s="47">
        <v>1.32</v>
      </c>
      <c r="E1688" s="46" t="s">
        <v>47</v>
      </c>
      <c r="F1688" s="47">
        <v>1.22</v>
      </c>
      <c r="G1688" s="46" t="s">
        <v>48</v>
      </c>
      <c r="H1688" s="47">
        <v>0.98</v>
      </c>
      <c r="I1688" s="48">
        <v>14</v>
      </c>
      <c r="J1688" s="49">
        <f>ROUND((3096*$T$1),0)*1.05</f>
        <v>3250.8</v>
      </c>
      <c r="K1688" s="49">
        <f>ROUND((3293*$T$1),0)*1.05</f>
        <v>3457.65</v>
      </c>
      <c r="L1688" s="49">
        <f>ROUND((3543*$T$1),0)*1.05</f>
        <v>3720.15</v>
      </c>
      <c r="M1688" s="49">
        <f>ROUND((3793*$T$1),0)*1.05</f>
        <v>3982.65</v>
      </c>
      <c r="N1688" s="49">
        <f>ROUND((4043*$T$1),0)*1.05</f>
        <v>4245.1500000000005</v>
      </c>
      <c r="O1688" s="49">
        <f>ROUND((4295*$T$1),0)*1.05</f>
        <v>4509.75</v>
      </c>
      <c r="P1688" s="49">
        <f>ROUND((4545*$T$1),0)*1.05</f>
        <v>4772.25</v>
      </c>
      <c r="Q1688" s="49">
        <f>ROUND((4795*$T$1),0)*1.05</f>
        <v>5034.75</v>
      </c>
      <c r="R1688" s="33"/>
      <c r="S1688" s="33"/>
      <c r="T1688" s="33"/>
      <c r="U1688" s="33"/>
    </row>
    <row r="1689" spans="1:21" ht="15" customHeight="1" x14ac:dyDescent="0.3">
      <c r="A1689" s="42"/>
      <c r="B1689" s="43"/>
      <c r="C1689" s="44"/>
      <c r="D1689" s="47"/>
      <c r="E1689" s="46"/>
      <c r="F1689" s="47"/>
      <c r="G1689" s="46"/>
      <c r="H1689" s="47"/>
      <c r="I1689" s="48"/>
      <c r="J1689" s="49"/>
      <c r="K1689" s="49"/>
      <c r="L1689" s="49"/>
      <c r="M1689" s="49"/>
      <c r="N1689" s="49"/>
      <c r="O1689" s="49"/>
      <c r="P1689" s="49"/>
      <c r="Q1689" s="49"/>
      <c r="R1689" s="33"/>
      <c r="S1689" s="33"/>
      <c r="T1689" s="33"/>
      <c r="U1689" s="33"/>
    </row>
    <row r="1690" spans="1:21" ht="15" customHeight="1" x14ac:dyDescent="0.3">
      <c r="A1690" s="42"/>
      <c r="B1690" s="43" t="s">
        <v>969</v>
      </c>
      <c r="C1690" s="44" t="s">
        <v>45</v>
      </c>
      <c r="D1690" s="47">
        <v>0.8</v>
      </c>
      <c r="E1690" s="46" t="s">
        <v>47</v>
      </c>
      <c r="F1690" s="47">
        <v>1.22</v>
      </c>
      <c r="G1690" s="46" t="s">
        <v>48</v>
      </c>
      <c r="H1690" s="47">
        <v>0.98</v>
      </c>
      <c r="I1690" s="48">
        <v>9</v>
      </c>
      <c r="J1690" s="49">
        <f>ROUND((2280*$T$1),0)*1.05</f>
        <v>2394</v>
      </c>
      <c r="K1690" s="49">
        <f>ROUND((2425*$T$1),0)*1.05</f>
        <v>2546.25</v>
      </c>
      <c r="L1690" s="49">
        <f>ROUND((2609*$T$1),0)*1.05</f>
        <v>2739.4500000000003</v>
      </c>
      <c r="M1690" s="49">
        <f>ROUND((2795*$T$1),0)*1.05</f>
        <v>2934.75</v>
      </c>
      <c r="N1690" s="49">
        <f>ROUND((2979*$T$1),0)*1.05</f>
        <v>3127.9500000000003</v>
      </c>
      <c r="O1690" s="49">
        <f>ROUND((3164*$T$1),0)*1.05</f>
        <v>3322.2000000000003</v>
      </c>
      <c r="P1690" s="49">
        <f>ROUND((3350*$T$1),0)*1.05</f>
        <v>3517.5</v>
      </c>
      <c r="Q1690" s="49">
        <f>ROUND((3536*$T$1),0)*1.05</f>
        <v>3712.8</v>
      </c>
      <c r="R1690" s="33"/>
      <c r="S1690" s="33"/>
      <c r="T1690" s="33"/>
      <c r="U1690" s="33"/>
    </row>
    <row r="1691" spans="1:21" ht="15" customHeight="1" x14ac:dyDescent="0.3">
      <c r="A1691" s="42"/>
      <c r="B1691" s="43" t="s">
        <v>970</v>
      </c>
      <c r="C1691" s="44" t="s">
        <v>45</v>
      </c>
      <c r="D1691" s="47">
        <v>0.9</v>
      </c>
      <c r="E1691" s="46" t="s">
        <v>47</v>
      </c>
      <c r="F1691" s="47">
        <v>1.22</v>
      </c>
      <c r="G1691" s="46" t="s">
        <v>48</v>
      </c>
      <c r="H1691" s="47">
        <v>0.98</v>
      </c>
      <c r="I1691" s="48">
        <v>9.5</v>
      </c>
      <c r="J1691" s="49">
        <f>ROUND((2400*$T$1),0)*1.05</f>
        <v>2520</v>
      </c>
      <c r="K1691" s="49">
        <f>ROUND((2254*$T$1),0)*1.05</f>
        <v>2366.7000000000003</v>
      </c>
      <c r="L1691" s="49">
        <f>ROUND((2747*$T$1),0)*1.05</f>
        <v>2884.35</v>
      </c>
      <c r="M1691" s="49">
        <f>ROUND((2942*$T$1),0)*1.05</f>
        <v>3089.1</v>
      </c>
      <c r="N1691" s="49">
        <f>ROUND((3135*$T$1),0)*1.05</f>
        <v>3291.75</v>
      </c>
      <c r="O1691" s="49">
        <f>ROUND((3331*$T$1),0)*1.05</f>
        <v>3497.55</v>
      </c>
      <c r="P1691" s="49">
        <f>ROUND((3527*$T$1),0)*1.05</f>
        <v>3703.3500000000004</v>
      </c>
      <c r="Q1691" s="49">
        <f>ROUND((3723*$T$1),0)*1.05</f>
        <v>3909.15</v>
      </c>
      <c r="R1691" s="33"/>
      <c r="S1691" s="33"/>
      <c r="T1691" s="33"/>
      <c r="U1691" s="33"/>
    </row>
    <row r="1692" spans="1:21" ht="15" customHeight="1" x14ac:dyDescent="0.3">
      <c r="A1692" s="42"/>
      <c r="B1692" s="43" t="s">
        <v>971</v>
      </c>
      <c r="C1692" s="44" t="s">
        <v>45</v>
      </c>
      <c r="D1692" s="47">
        <v>1</v>
      </c>
      <c r="E1692" s="46" t="s">
        <v>47</v>
      </c>
      <c r="F1692" s="47">
        <v>1.22</v>
      </c>
      <c r="G1692" s="46" t="s">
        <v>48</v>
      </c>
      <c r="H1692" s="47">
        <v>0.98</v>
      </c>
      <c r="I1692" s="48">
        <v>10</v>
      </c>
      <c r="J1692" s="49">
        <f>ROUND((2527*$T$1),0)*1.05</f>
        <v>2653.35</v>
      </c>
      <c r="K1692" s="49">
        <f>ROUND((2688*$T$1),0)*1.05</f>
        <v>2822.4</v>
      </c>
      <c r="L1692" s="49">
        <f>ROUND((2893*$T$1),0)*1.05</f>
        <v>3037.65</v>
      </c>
      <c r="M1692" s="49">
        <f>ROUND((3097*$T$1),0)*1.05</f>
        <v>3251.8500000000004</v>
      </c>
      <c r="N1692" s="49">
        <f>ROUND((3301*$T$1),0)*1.05</f>
        <v>3466.05</v>
      </c>
      <c r="O1692" s="49">
        <f>ROUND((3505*$T$1),0)*1.05</f>
        <v>3680.25</v>
      </c>
      <c r="P1692" s="49">
        <f>ROUND((3709*$T$1),0)*1.05</f>
        <v>3894.4500000000003</v>
      </c>
      <c r="Q1692" s="49">
        <f>ROUND((3913*$T$1),0)*1.05</f>
        <v>4108.6500000000005</v>
      </c>
      <c r="R1692" s="33"/>
      <c r="S1692" s="33"/>
      <c r="T1692" s="33"/>
      <c r="U1692" s="33"/>
    </row>
    <row r="1693" spans="1:21" ht="15" customHeight="1" x14ac:dyDescent="0.3">
      <c r="A1693" s="42"/>
      <c r="B1693" s="43" t="s">
        <v>972</v>
      </c>
      <c r="C1693" s="44" t="s">
        <v>45</v>
      </c>
      <c r="D1693" s="47">
        <v>1.1000000000000001</v>
      </c>
      <c r="E1693" s="46" t="s">
        <v>47</v>
      </c>
      <c r="F1693" s="47">
        <v>1.22</v>
      </c>
      <c r="G1693" s="46" t="s">
        <v>48</v>
      </c>
      <c r="H1693" s="47">
        <v>0.98</v>
      </c>
      <c r="I1693" s="48">
        <v>10.5</v>
      </c>
      <c r="J1693" s="49">
        <f>ROUND((2653*$T$1),0)*1.05</f>
        <v>2785.65</v>
      </c>
      <c r="K1693" s="49">
        <f>ROUND((2822*$T$1),0)*1.05</f>
        <v>2963.1</v>
      </c>
      <c r="L1693" s="49">
        <f>ROUND((3037*$T$1),0)*1.05</f>
        <v>3188.85</v>
      </c>
      <c r="M1693" s="49">
        <f>ROUND((3251*$T$1),0)*1.05</f>
        <v>3413.55</v>
      </c>
      <c r="N1693" s="49">
        <f>ROUND((3466*$T$1),0)*1.05</f>
        <v>3639.3</v>
      </c>
      <c r="O1693" s="49">
        <f>ROUND((3681*$T$1),0)*1.05</f>
        <v>3865.05</v>
      </c>
      <c r="P1693" s="49">
        <f>ROUND((3896*$T$1),0)*1.05</f>
        <v>4090.8</v>
      </c>
      <c r="Q1693" s="49">
        <f>ROUND((4111*$T$1),0)*1.05</f>
        <v>4316.55</v>
      </c>
      <c r="R1693" s="33"/>
      <c r="S1693" s="33"/>
      <c r="T1693" s="33"/>
      <c r="U1693" s="33"/>
    </row>
    <row r="1694" spans="1:21" ht="15" customHeight="1" x14ac:dyDescent="0.3">
      <c r="A1694" s="42"/>
      <c r="B1694" s="43" t="s">
        <v>973</v>
      </c>
      <c r="C1694" s="44" t="s">
        <v>45</v>
      </c>
      <c r="D1694" s="47">
        <v>1.2</v>
      </c>
      <c r="E1694" s="46" t="s">
        <v>47</v>
      </c>
      <c r="F1694" s="47">
        <v>1.22</v>
      </c>
      <c r="G1694" s="46" t="s">
        <v>48</v>
      </c>
      <c r="H1694" s="47">
        <v>0.98</v>
      </c>
      <c r="I1694" s="48">
        <v>11</v>
      </c>
      <c r="J1694" s="49">
        <f>ROUND((2786*$T$1),0)*1.05</f>
        <v>2925.3</v>
      </c>
      <c r="K1694" s="49">
        <f>ROUND((2963*$T$1),0)*1.05</f>
        <v>3111.15</v>
      </c>
      <c r="L1694" s="49">
        <f>ROUND((3189*$T$1),0)*1.05</f>
        <v>3348.4500000000003</v>
      </c>
      <c r="M1694" s="49">
        <f>ROUND((3414*$T$1),0)*1.05</f>
        <v>3584.7000000000003</v>
      </c>
      <c r="N1694" s="49">
        <f>ROUND((3640*$T$1),0)*1.05</f>
        <v>3822</v>
      </c>
      <c r="O1694" s="49">
        <f>ROUND((3865*$T$1),0)*1.05</f>
        <v>4058.25</v>
      </c>
      <c r="P1694" s="49">
        <f>ROUND((4091*$T$1),0)*1.05</f>
        <v>4295.55</v>
      </c>
      <c r="Q1694" s="49">
        <f>ROUND((4317*$T$1),0)*1.05</f>
        <v>4532.8500000000004</v>
      </c>
      <c r="R1694" s="33"/>
      <c r="S1694" s="33"/>
      <c r="T1694" s="33"/>
      <c r="U1694" s="33"/>
    </row>
    <row r="1695" spans="1:21" ht="15" customHeight="1" x14ac:dyDescent="0.3">
      <c r="A1695" s="42"/>
      <c r="B1695" s="43"/>
      <c r="C1695" s="44"/>
      <c r="D1695" s="47"/>
      <c r="E1695" s="46"/>
      <c r="F1695" s="47"/>
      <c r="G1695" s="46"/>
      <c r="H1695" s="47"/>
      <c r="I1695" s="48"/>
      <c r="J1695" s="49"/>
      <c r="K1695" s="49"/>
      <c r="L1695" s="49"/>
      <c r="M1695" s="49"/>
      <c r="N1695" s="49"/>
      <c r="O1695" s="49"/>
      <c r="P1695" s="49"/>
      <c r="Q1695" s="49"/>
      <c r="R1695" s="33"/>
      <c r="S1695" s="33"/>
      <c r="T1695" s="33"/>
      <c r="U1695" s="33"/>
    </row>
    <row r="1696" spans="1:21" ht="15" customHeight="1" x14ac:dyDescent="0.3">
      <c r="A1696" s="42"/>
      <c r="B1696" s="118" t="s">
        <v>190</v>
      </c>
      <c r="C1696" s="119"/>
      <c r="D1696" s="86"/>
      <c r="E1696" s="86"/>
      <c r="F1696" s="86"/>
      <c r="G1696" s="86"/>
      <c r="H1696" s="86"/>
      <c r="I1696" s="55"/>
      <c r="J1696" s="56"/>
      <c r="K1696" s="56"/>
      <c r="L1696" s="56"/>
      <c r="M1696" s="87" t="s">
        <v>134</v>
      </c>
      <c r="N1696" s="56"/>
      <c r="O1696" s="56"/>
      <c r="P1696" s="56"/>
      <c r="Q1696" s="56"/>
    </row>
    <row r="1697" spans="1:21" ht="15" customHeight="1" x14ac:dyDescent="0.3">
      <c r="A1697" s="42"/>
      <c r="B1697" s="59" t="s">
        <v>974</v>
      </c>
      <c r="C1697" s="60"/>
      <c r="D1697" s="59"/>
      <c r="E1697" s="59"/>
      <c r="F1697" s="59"/>
      <c r="G1697" s="59"/>
      <c r="H1697" s="59"/>
      <c r="I1697" s="61"/>
      <c r="J1697" s="62"/>
      <c r="K1697" s="62"/>
      <c r="L1697" s="62"/>
      <c r="M1697" s="62"/>
      <c r="N1697" s="62"/>
      <c r="O1697" s="62"/>
      <c r="P1697" s="62"/>
      <c r="Q1697" s="62"/>
    </row>
    <row r="1699" spans="1:21" ht="29.1" customHeight="1" x14ac:dyDescent="0.25">
      <c r="A1699" s="127" t="s">
        <v>975</v>
      </c>
      <c r="B1699" s="77"/>
      <c r="C1699" s="187" t="s">
        <v>41</v>
      </c>
      <c r="D1699" s="187"/>
      <c r="E1699" s="187"/>
      <c r="F1699" s="187"/>
      <c r="G1699" s="187"/>
      <c r="H1699" s="187"/>
      <c r="I1699" s="78" t="s">
        <v>42</v>
      </c>
      <c r="J1699" s="41" t="s">
        <v>43</v>
      </c>
      <c r="K1699" s="41">
        <v>1000</v>
      </c>
      <c r="L1699" s="41">
        <v>2000</v>
      </c>
      <c r="M1699" s="41">
        <v>3000</v>
      </c>
      <c r="N1699" s="41">
        <v>4000</v>
      </c>
      <c r="O1699" s="41">
        <v>5000</v>
      </c>
      <c r="P1699" s="41">
        <v>6000</v>
      </c>
      <c r="Q1699" s="41">
        <v>7000</v>
      </c>
    </row>
    <row r="1700" spans="1:21" ht="15" customHeight="1" x14ac:dyDescent="0.3">
      <c r="A1700" s="42"/>
      <c r="B1700" s="43" t="s">
        <v>976</v>
      </c>
      <c r="C1700" s="44" t="s">
        <v>45</v>
      </c>
      <c r="D1700" s="47">
        <v>1</v>
      </c>
      <c r="E1700" s="46" t="s">
        <v>47</v>
      </c>
      <c r="F1700" s="47">
        <v>1</v>
      </c>
      <c r="G1700" s="46" t="s">
        <v>48</v>
      </c>
      <c r="H1700" s="47">
        <v>0.98</v>
      </c>
      <c r="I1700" s="48">
        <v>7</v>
      </c>
      <c r="J1700" s="49">
        <f>ROUND((3427*$T$1),0)*1.05</f>
        <v>3598.3500000000004</v>
      </c>
      <c r="K1700" s="49">
        <f>ROUND((3645*$T$1),0)*1.05</f>
        <v>3827.25</v>
      </c>
      <c r="L1700" s="49">
        <f>ROUND((3743*$T$1),0)*1.05</f>
        <v>3930.15</v>
      </c>
      <c r="M1700" s="49">
        <f>ROUND((3840*$T$1),0)*1.05</f>
        <v>4032</v>
      </c>
      <c r="N1700" s="49">
        <f>ROUND((3937*$T$1),0)*1.05</f>
        <v>4133.8500000000004</v>
      </c>
      <c r="O1700" s="49">
        <f>ROUND((4035*$T$1),0)*1.05</f>
        <v>4236.75</v>
      </c>
      <c r="P1700" s="49">
        <f>ROUND((4133*$T$1),0)*1.05</f>
        <v>4339.6500000000005</v>
      </c>
      <c r="Q1700" s="49">
        <f>ROUND((4231*$T$1),0)*1.05</f>
        <v>4442.55</v>
      </c>
      <c r="R1700" s="33"/>
      <c r="S1700" s="33"/>
      <c r="T1700" s="33"/>
      <c r="U1700" s="33"/>
    </row>
    <row r="1701" spans="1:21" ht="15" customHeight="1" x14ac:dyDescent="0.3">
      <c r="A1701" s="42"/>
      <c r="B1701" s="43" t="s">
        <v>977</v>
      </c>
      <c r="C1701" s="44" t="s">
        <v>45</v>
      </c>
      <c r="D1701" s="47">
        <v>1.1000000000000001</v>
      </c>
      <c r="E1701" s="46" t="s">
        <v>47</v>
      </c>
      <c r="F1701" s="47">
        <v>1</v>
      </c>
      <c r="G1701" s="46" t="s">
        <v>48</v>
      </c>
      <c r="H1701" s="47">
        <v>0.98</v>
      </c>
      <c r="I1701" s="48">
        <v>7.5</v>
      </c>
      <c r="J1701" s="49">
        <f>ROUND((3607*$T$1),0)*1.05</f>
        <v>3787.3500000000004</v>
      </c>
      <c r="K1701" s="49">
        <f>ROUND((3837*$T$1),0)*1.05</f>
        <v>4028.8500000000004</v>
      </c>
      <c r="L1701" s="49">
        <f>ROUND((3939*$T$1),0)*1.05</f>
        <v>4135.95</v>
      </c>
      <c r="M1701" s="49">
        <f>ROUND((4043*$T$1),0)*1.05</f>
        <v>4245.1500000000005</v>
      </c>
      <c r="N1701" s="49">
        <f>ROUND((4144*$T$1),0)*1.05</f>
        <v>4351.2</v>
      </c>
      <c r="O1701" s="49">
        <f>ROUND((4247*$T$1),0)*1.05</f>
        <v>4459.3500000000004</v>
      </c>
      <c r="P1701" s="49">
        <f>ROUND((4351*$T$1),0)*1.05</f>
        <v>4568.55</v>
      </c>
      <c r="Q1701" s="49">
        <f>ROUND((4455*$T$1),0)*1.05</f>
        <v>4677.75</v>
      </c>
      <c r="R1701" s="33"/>
      <c r="S1701" s="33"/>
      <c r="T1701" s="33"/>
      <c r="U1701" s="33"/>
    </row>
    <row r="1702" spans="1:21" ht="15" customHeight="1" x14ac:dyDescent="0.3">
      <c r="A1702" s="42"/>
      <c r="B1702" s="43" t="s">
        <v>978</v>
      </c>
      <c r="C1702" s="44" t="s">
        <v>45</v>
      </c>
      <c r="D1702" s="47">
        <v>1.2</v>
      </c>
      <c r="E1702" s="46" t="s">
        <v>47</v>
      </c>
      <c r="F1702" s="47">
        <v>1</v>
      </c>
      <c r="G1702" s="46" t="s">
        <v>48</v>
      </c>
      <c r="H1702" s="47">
        <v>0.98</v>
      </c>
      <c r="I1702" s="48">
        <v>8</v>
      </c>
      <c r="J1702" s="49">
        <f>ROUND((3810*$T$1),0)*1.05</f>
        <v>4000.5</v>
      </c>
      <c r="K1702" s="49">
        <f>ROUND((4038*$T$1),0)*1.05</f>
        <v>4239.9000000000005</v>
      </c>
      <c r="L1702" s="49">
        <f>ROUND((4147*$T$1),0)*1.05</f>
        <v>4354.3500000000004</v>
      </c>
      <c r="M1702" s="49">
        <f>ROUND((4254*$T$1),0)*1.05</f>
        <v>4466.7</v>
      </c>
      <c r="N1702" s="49">
        <f>ROUND((4363*$T$1),0)*1.05</f>
        <v>4581.1500000000005</v>
      </c>
      <c r="O1702" s="49">
        <f>ROUND((4470*$T$1),0)*1.05</f>
        <v>4693.5</v>
      </c>
      <c r="P1702" s="49">
        <f>ROUND((4579*$T$1),0)*1.05</f>
        <v>4807.95</v>
      </c>
      <c r="Q1702" s="49">
        <f>ROUND((4688*$T$1),0)*1.05</f>
        <v>4922.4000000000005</v>
      </c>
      <c r="R1702" s="33"/>
      <c r="S1702" s="33"/>
      <c r="T1702" s="33"/>
      <c r="U1702" s="33"/>
    </row>
    <row r="1703" spans="1:21" ht="15" customHeight="1" x14ac:dyDescent="0.3">
      <c r="A1703" s="42"/>
      <c r="B1703" s="43" t="s">
        <v>979</v>
      </c>
      <c r="C1703" s="44" t="s">
        <v>45</v>
      </c>
      <c r="D1703" s="47">
        <v>1.3</v>
      </c>
      <c r="E1703" s="46" t="s">
        <v>47</v>
      </c>
      <c r="F1703" s="47">
        <v>1</v>
      </c>
      <c r="G1703" s="46" t="s">
        <v>48</v>
      </c>
      <c r="H1703" s="47">
        <v>0.98</v>
      </c>
      <c r="I1703" s="48">
        <v>8.5</v>
      </c>
      <c r="J1703" s="49">
        <f>ROUND((3987*$T$1),0)*1.05</f>
        <v>4186.3500000000004</v>
      </c>
      <c r="K1703" s="49">
        <f>ROUND((4241*$T$1),0)*1.05</f>
        <v>4453.05</v>
      </c>
      <c r="L1703" s="49">
        <f>ROUND((4354*$T$1),0)*1.05</f>
        <v>4571.7</v>
      </c>
      <c r="M1703" s="49">
        <f>ROUND((4468*$T$1),0)*1.05</f>
        <v>4691.4000000000005</v>
      </c>
      <c r="N1703" s="49">
        <f>ROUND((4581*$T$1),0)*1.05</f>
        <v>4810.05</v>
      </c>
      <c r="O1703" s="49">
        <f>ROUND((4694*$T$1),0)*1.05</f>
        <v>4928.7</v>
      </c>
      <c r="P1703" s="49">
        <f>ROUND((4807*$T$1),0)*1.05</f>
        <v>5047.3500000000004</v>
      </c>
      <c r="Q1703" s="49">
        <f>ROUND((4925*$T$1),0)*1.05</f>
        <v>5171.25</v>
      </c>
      <c r="R1703" s="33"/>
      <c r="S1703" s="33"/>
      <c r="T1703" s="33"/>
      <c r="U1703" s="33"/>
    </row>
    <row r="1704" spans="1:21" ht="15" customHeight="1" x14ac:dyDescent="0.3">
      <c r="A1704" s="42"/>
      <c r="B1704" s="43" t="s">
        <v>980</v>
      </c>
      <c r="C1704" s="44" t="s">
        <v>45</v>
      </c>
      <c r="D1704" s="47">
        <v>1.4</v>
      </c>
      <c r="E1704" s="46" t="s">
        <v>47</v>
      </c>
      <c r="F1704" s="47">
        <v>1</v>
      </c>
      <c r="G1704" s="46" t="s">
        <v>48</v>
      </c>
      <c r="H1704" s="47">
        <v>0.98</v>
      </c>
      <c r="I1704" s="48">
        <v>9</v>
      </c>
      <c r="J1704" s="49">
        <f>ROUND((4186*$T$1),0)*1.05</f>
        <v>4395.3</v>
      </c>
      <c r="K1704" s="49">
        <f>ROUND((4453*$T$1),0)*1.05</f>
        <v>4675.6500000000005</v>
      </c>
      <c r="L1704" s="49">
        <f>ROUND((4571*$T$1),0)*1.05</f>
        <v>4799.55</v>
      </c>
      <c r="M1704" s="49">
        <f>ROUND((4691*$T$1),0)*1.05</f>
        <v>4925.55</v>
      </c>
      <c r="N1704" s="49">
        <f>ROUND((4810*$T$1),0)*1.05</f>
        <v>5050.5</v>
      </c>
      <c r="O1704" s="49">
        <f>ROUND((4929*$T$1),0)*1.05</f>
        <v>5175.45</v>
      </c>
      <c r="P1704" s="49">
        <f>ROUND((5049*$T$1),0)*1.05</f>
        <v>5301.45</v>
      </c>
      <c r="Q1704" s="49">
        <f>ROUND((5169*$T$1),0)*1.05</f>
        <v>5427.45</v>
      </c>
      <c r="R1704" s="33"/>
      <c r="S1704" s="33"/>
      <c r="T1704" s="33"/>
      <c r="U1704" s="33"/>
    </row>
    <row r="1705" spans="1:21" ht="15" customHeight="1" x14ac:dyDescent="0.3">
      <c r="A1705" s="42"/>
      <c r="B1705" s="43"/>
      <c r="C1705" s="44"/>
      <c r="D1705" s="47"/>
      <c r="E1705" s="46"/>
      <c r="F1705" s="47"/>
      <c r="G1705" s="46"/>
      <c r="H1705" s="47"/>
      <c r="I1705" s="48"/>
      <c r="J1705" s="49"/>
      <c r="K1705" s="49"/>
      <c r="L1705" s="49"/>
      <c r="M1705" s="49"/>
      <c r="N1705" s="49"/>
      <c r="O1705" s="49"/>
      <c r="P1705" s="49"/>
      <c r="Q1705" s="49"/>
      <c r="R1705" s="33"/>
      <c r="S1705" s="33"/>
      <c r="T1705" s="33"/>
      <c r="U1705" s="33"/>
    </row>
    <row r="1706" spans="1:21" ht="15" customHeight="1" x14ac:dyDescent="0.3">
      <c r="A1706" s="42"/>
      <c r="B1706" s="43" t="s">
        <v>981</v>
      </c>
      <c r="C1706" s="44" t="s">
        <v>45</v>
      </c>
      <c r="D1706" s="47">
        <v>1</v>
      </c>
      <c r="E1706" s="46" t="s">
        <v>47</v>
      </c>
      <c r="F1706" s="47">
        <v>1.8</v>
      </c>
      <c r="G1706" s="46" t="s">
        <v>48</v>
      </c>
      <c r="H1706" s="47">
        <v>0.98</v>
      </c>
      <c r="I1706" s="48">
        <v>7</v>
      </c>
      <c r="J1706" s="49">
        <f>ROUND((3209*$T$1),0)*1.05</f>
        <v>3369.4500000000003</v>
      </c>
      <c r="K1706" s="49">
        <f>ROUND((3415*$T$1),0)*1.05</f>
        <v>3585.75</v>
      </c>
      <c r="L1706" s="49">
        <f>ROUND((3508*$T$1),0)*1.05</f>
        <v>3683.4</v>
      </c>
      <c r="M1706" s="49">
        <f>ROUND((3601*$T$1),0)*1.05</f>
        <v>3781.05</v>
      </c>
      <c r="N1706" s="49">
        <f>ROUND((3695*$T$1),0)*1.05</f>
        <v>3879.75</v>
      </c>
      <c r="O1706" s="49">
        <f>ROUND((3789*$T$1),0)*1.05</f>
        <v>3978.4500000000003</v>
      </c>
      <c r="P1706" s="49">
        <f>ROUND((3883*$T$1),0)*1.05</f>
        <v>4077.15</v>
      </c>
      <c r="Q1706" s="49">
        <f>ROUND((3977*$T$1),0)*1.05</f>
        <v>4175.8500000000004</v>
      </c>
      <c r="R1706" s="33"/>
      <c r="S1706" s="33"/>
      <c r="T1706" s="33"/>
      <c r="U1706" s="33"/>
    </row>
    <row r="1707" spans="1:21" ht="15" customHeight="1" x14ac:dyDescent="0.3">
      <c r="A1707" s="42"/>
      <c r="B1707" s="43" t="s">
        <v>982</v>
      </c>
      <c r="C1707" s="44" t="s">
        <v>45</v>
      </c>
      <c r="D1707" s="47">
        <v>1.1000000000000001</v>
      </c>
      <c r="E1707" s="46" t="s">
        <v>47</v>
      </c>
      <c r="F1707" s="47">
        <v>1.8</v>
      </c>
      <c r="G1707" s="46" t="s">
        <v>48</v>
      </c>
      <c r="H1707" s="47">
        <v>0.98</v>
      </c>
      <c r="I1707" s="48">
        <v>8</v>
      </c>
      <c r="J1707" s="49">
        <f>ROUND((3378*$T$1),0)*1.05</f>
        <v>3546.9</v>
      </c>
      <c r="K1707" s="49">
        <f>ROUND((3594*$T$1),0)*1.05</f>
        <v>3773.7000000000003</v>
      </c>
      <c r="L1707" s="49">
        <f>ROUND((3692*$T$1),0)*1.05</f>
        <v>3876.6000000000004</v>
      </c>
      <c r="M1707" s="49">
        <f>ROUND((3791*$T$1),0)*1.05</f>
        <v>3980.55</v>
      </c>
      <c r="N1707" s="49">
        <f>ROUND((3890*$T$1),0)*1.05</f>
        <v>4084.5</v>
      </c>
      <c r="O1707" s="49">
        <f>ROUND((3988*$T$1),0)*1.05</f>
        <v>4187.4000000000005</v>
      </c>
      <c r="P1707" s="49">
        <f>ROUND((4087*$T$1),0)*1.05</f>
        <v>4291.3500000000004</v>
      </c>
      <c r="Q1707" s="49">
        <f>ROUND((4186*$T$1),0)*1.05</f>
        <v>4395.3</v>
      </c>
      <c r="R1707" s="33"/>
      <c r="S1707" s="33"/>
      <c r="T1707" s="33"/>
      <c r="U1707" s="33"/>
    </row>
    <row r="1708" spans="1:21" ht="15" customHeight="1" x14ac:dyDescent="0.3">
      <c r="A1708" s="42"/>
      <c r="B1708" s="43" t="s">
        <v>983</v>
      </c>
      <c r="C1708" s="44" t="s">
        <v>45</v>
      </c>
      <c r="D1708" s="47">
        <v>1.2</v>
      </c>
      <c r="E1708" s="46" t="s">
        <v>47</v>
      </c>
      <c r="F1708" s="47">
        <v>1.8</v>
      </c>
      <c r="G1708" s="46" t="s">
        <v>48</v>
      </c>
      <c r="H1708" s="47">
        <v>0.98</v>
      </c>
      <c r="I1708" s="48">
        <v>8.5</v>
      </c>
      <c r="J1708" s="49">
        <f>ROUND((3556*$T$1),0)*1.05</f>
        <v>3733.8</v>
      </c>
      <c r="K1708" s="49">
        <f>ROUND((3793*$T$1),0)*1.05</f>
        <v>3982.65</v>
      </c>
      <c r="L1708" s="49">
        <f>ROUND((3887*$T$1),0)*1.05</f>
        <v>4081.3500000000004</v>
      </c>
      <c r="M1708" s="49">
        <f>ROUND((3990*$T$1),0)*1.05</f>
        <v>4189.5</v>
      </c>
      <c r="N1708" s="49">
        <f>ROUND((4094*$T$1),0)*1.05</f>
        <v>4298.7</v>
      </c>
      <c r="O1708" s="49">
        <f>ROUND((4198*$T$1),0)*1.05</f>
        <v>4407.9000000000005</v>
      </c>
      <c r="P1708" s="49">
        <f>ROUND((4302*$T$1),0)*1.05</f>
        <v>4517.1000000000004</v>
      </c>
      <c r="Q1708" s="49">
        <f>ROUND((4406*$T$1),0)*1.05</f>
        <v>4626.3</v>
      </c>
      <c r="R1708" s="33"/>
      <c r="S1708" s="33"/>
      <c r="T1708" s="33"/>
      <c r="U1708" s="33"/>
    </row>
    <row r="1709" spans="1:21" ht="15" customHeight="1" x14ac:dyDescent="0.3">
      <c r="A1709" s="42"/>
      <c r="B1709" s="43" t="s">
        <v>984</v>
      </c>
      <c r="C1709" s="44" t="s">
        <v>45</v>
      </c>
      <c r="D1709" s="47">
        <v>1.3</v>
      </c>
      <c r="E1709" s="46" t="s">
        <v>47</v>
      </c>
      <c r="F1709" s="47">
        <v>1.8</v>
      </c>
      <c r="G1709" s="46" t="s">
        <v>48</v>
      </c>
      <c r="H1709" s="47">
        <v>0.98</v>
      </c>
      <c r="I1709" s="48">
        <v>9</v>
      </c>
      <c r="J1709" s="49">
        <f>ROUND((3743*$T$1),0)*1.05</f>
        <v>3930.15</v>
      </c>
      <c r="K1709" s="49">
        <f>ROUND((3982*$T$1),0)*1.05</f>
        <v>4181.1000000000004</v>
      </c>
      <c r="L1709" s="49">
        <f>ROUND((4091*$T$1),0)*1.05</f>
        <v>4295.55</v>
      </c>
      <c r="M1709" s="49">
        <f>ROUND((4201*$T$1),0)*1.05</f>
        <v>4411.05</v>
      </c>
      <c r="N1709" s="49">
        <f>ROUND((4310*$T$1),0)*1.05</f>
        <v>4525.5</v>
      </c>
      <c r="O1709" s="49">
        <f>ROUND((4419*$T$1),0)*1.05</f>
        <v>4639.95</v>
      </c>
      <c r="P1709" s="49">
        <f>ROUND((4528*$T$1),0)*1.05</f>
        <v>4754.4000000000005</v>
      </c>
      <c r="Q1709" s="49">
        <f>ROUND((4637*$T$1),0)*1.05</f>
        <v>4868.8500000000004</v>
      </c>
      <c r="R1709" s="33"/>
      <c r="S1709" s="33"/>
      <c r="T1709" s="33"/>
      <c r="U1709" s="33"/>
    </row>
    <row r="1710" spans="1:21" ht="15" customHeight="1" x14ac:dyDescent="0.3">
      <c r="A1710" s="42"/>
      <c r="B1710" s="43" t="s">
        <v>985</v>
      </c>
      <c r="C1710" s="44" t="s">
        <v>45</v>
      </c>
      <c r="D1710" s="47">
        <v>1.4</v>
      </c>
      <c r="E1710" s="46" t="s">
        <v>47</v>
      </c>
      <c r="F1710" s="47">
        <v>1.8</v>
      </c>
      <c r="G1710" s="46" t="s">
        <v>48</v>
      </c>
      <c r="H1710" s="47">
        <v>0.98</v>
      </c>
      <c r="I1710" s="48">
        <v>9.5</v>
      </c>
      <c r="J1710" s="49">
        <f>ROUND((3940*$T$1),0)*1.05</f>
        <v>4137</v>
      </c>
      <c r="K1710" s="49">
        <f>ROUND((4192*$T$1),0)*1.05</f>
        <v>4401.6000000000004</v>
      </c>
      <c r="L1710" s="49">
        <f>ROUND((4307*$T$1),0)*1.05</f>
        <v>4522.3500000000004</v>
      </c>
      <c r="M1710" s="49">
        <f>ROUND((4422*$T$1),0)*1.05</f>
        <v>4643.1000000000004</v>
      </c>
      <c r="N1710" s="49">
        <f>ROUND((4537*$T$1),0)*1.05</f>
        <v>4763.8500000000004</v>
      </c>
      <c r="O1710" s="49">
        <f>ROUND((4651*$T$1),0)*1.05</f>
        <v>4883.55</v>
      </c>
      <c r="P1710" s="49">
        <f>ROUND((4766*$T$1),0)*1.05</f>
        <v>5004.3</v>
      </c>
      <c r="Q1710" s="49">
        <f>ROUND((4881*$T$1),0)*1.05</f>
        <v>5125.05</v>
      </c>
      <c r="R1710" s="33"/>
      <c r="S1710" s="33"/>
      <c r="T1710" s="33"/>
      <c r="U1710" s="33"/>
    </row>
    <row r="1711" spans="1:21" ht="15" customHeight="1" x14ac:dyDescent="0.3">
      <c r="A1711" s="42"/>
      <c r="B1711" s="43"/>
      <c r="C1711" s="44"/>
      <c r="D1711" s="47"/>
      <c r="E1711" s="46"/>
      <c r="F1711" s="47"/>
      <c r="G1711" s="46"/>
      <c r="H1711" s="47"/>
      <c r="I1711" s="48"/>
      <c r="J1711" s="49"/>
      <c r="K1711" s="49"/>
      <c r="L1711" s="49"/>
      <c r="M1711" s="49"/>
      <c r="N1711" s="49"/>
      <c r="O1711" s="49"/>
      <c r="P1711" s="49"/>
      <c r="Q1711" s="49"/>
      <c r="R1711" s="33"/>
      <c r="S1711" s="33"/>
      <c r="T1711" s="33"/>
      <c r="U1711" s="33"/>
    </row>
    <row r="1712" spans="1:21" ht="15" customHeight="1" x14ac:dyDescent="0.3">
      <c r="A1712" s="42"/>
      <c r="B1712" s="86"/>
      <c r="C1712" s="119"/>
      <c r="D1712" s="86"/>
      <c r="E1712" s="86"/>
      <c r="F1712" s="86"/>
      <c r="G1712" s="86"/>
      <c r="H1712" s="86"/>
      <c r="I1712" s="55"/>
      <c r="J1712" s="56"/>
      <c r="K1712" s="56"/>
      <c r="L1712" s="56"/>
      <c r="M1712" s="87" t="s">
        <v>134</v>
      </c>
      <c r="N1712" s="56"/>
      <c r="O1712" s="56"/>
      <c r="P1712" s="56"/>
      <c r="Q1712" s="56"/>
    </row>
    <row r="1713" spans="1:21" ht="15" customHeight="1" x14ac:dyDescent="0.3">
      <c r="A1713" s="42"/>
      <c r="B1713" s="59" t="s">
        <v>986</v>
      </c>
      <c r="C1713" s="60"/>
      <c r="D1713" s="59"/>
      <c r="E1713" s="59"/>
      <c r="F1713" s="59"/>
      <c r="G1713" s="59"/>
      <c r="H1713" s="59"/>
      <c r="I1713" s="61"/>
      <c r="J1713" s="62"/>
      <c r="K1713" s="62"/>
      <c r="L1713" s="62"/>
      <c r="M1713" s="62"/>
      <c r="N1713" s="62"/>
      <c r="O1713" s="62"/>
      <c r="P1713" s="62"/>
      <c r="Q1713" s="62"/>
    </row>
    <row r="1715" spans="1:21" ht="29.1" customHeight="1" x14ac:dyDescent="0.25">
      <c r="A1715" s="127" t="s">
        <v>987</v>
      </c>
      <c r="B1715" s="77"/>
      <c r="C1715" s="187" t="s">
        <v>41</v>
      </c>
      <c r="D1715" s="187"/>
      <c r="E1715" s="187"/>
      <c r="F1715" s="187"/>
      <c r="G1715" s="187"/>
      <c r="H1715" s="187"/>
      <c r="I1715" s="78" t="s">
        <v>42</v>
      </c>
      <c r="J1715" s="41" t="s">
        <v>43</v>
      </c>
      <c r="K1715" s="41">
        <v>1000</v>
      </c>
      <c r="L1715" s="41">
        <v>2000</v>
      </c>
      <c r="M1715" s="41">
        <v>3000</v>
      </c>
      <c r="N1715" s="41">
        <v>4000</v>
      </c>
      <c r="O1715" s="41">
        <v>5000</v>
      </c>
      <c r="P1715" s="41">
        <v>6000</v>
      </c>
      <c r="Q1715" s="41">
        <v>7000</v>
      </c>
    </row>
    <row r="1716" spans="1:21" ht="15" customHeight="1" x14ac:dyDescent="0.3">
      <c r="A1716" s="42"/>
      <c r="B1716" s="43" t="s">
        <v>988</v>
      </c>
      <c r="C1716" s="44" t="s">
        <v>45</v>
      </c>
      <c r="D1716" s="47">
        <v>1.8</v>
      </c>
      <c r="E1716" s="46" t="s">
        <v>47</v>
      </c>
      <c r="F1716" s="47">
        <v>0.96</v>
      </c>
      <c r="G1716" s="46" t="s">
        <v>48</v>
      </c>
      <c r="H1716" s="47">
        <v>0.98</v>
      </c>
      <c r="I1716" s="48">
        <v>9.5</v>
      </c>
      <c r="J1716" s="49">
        <f>ROUND((3558*$T$1),0)*1.05</f>
        <v>3735.9</v>
      </c>
      <c r="K1716" s="49">
        <f>ROUND((3784*$T$1),0)*1.05</f>
        <v>3973.2000000000003</v>
      </c>
      <c r="L1716" s="49">
        <f>ROUND((3911*$T$1),0)*1.05</f>
        <v>4106.55</v>
      </c>
      <c r="M1716" s="49">
        <f>ROUND((4037*$T$1),0)*1.05</f>
        <v>4238.8500000000004</v>
      </c>
      <c r="N1716" s="49">
        <f>ROUND((4163*$T$1),0)*1.05</f>
        <v>4371.1500000000005</v>
      </c>
      <c r="O1716" s="49">
        <f>ROUND((4218*$T$1),0)*1.05</f>
        <v>4428.9000000000005</v>
      </c>
      <c r="P1716" s="49">
        <f>ROUND((4345*$T$1),0)*1.05</f>
        <v>4562.25</v>
      </c>
      <c r="Q1716" s="49">
        <f>ROUND((4472*$T$1),0)*1.05</f>
        <v>4695.6000000000004</v>
      </c>
      <c r="R1716" s="33"/>
      <c r="S1716" s="33"/>
      <c r="T1716" s="33"/>
      <c r="U1716" s="33"/>
    </row>
    <row r="1717" spans="1:21" ht="15" customHeight="1" x14ac:dyDescent="0.3">
      <c r="A1717" s="42"/>
      <c r="B1717" s="43" t="s">
        <v>989</v>
      </c>
      <c r="C1717" s="44" t="s">
        <v>45</v>
      </c>
      <c r="D1717" s="47">
        <v>2</v>
      </c>
      <c r="E1717" s="46" t="s">
        <v>47</v>
      </c>
      <c r="F1717" s="47">
        <v>0.96</v>
      </c>
      <c r="G1717" s="46" t="s">
        <v>48</v>
      </c>
      <c r="H1717" s="47">
        <v>0.98</v>
      </c>
      <c r="I1717" s="48">
        <v>9.5</v>
      </c>
      <c r="J1717" s="49">
        <f>ROUND((3735*$T$1),0)*1.05</f>
        <v>3921.75</v>
      </c>
      <c r="K1717" s="49">
        <f>ROUND((3974*$T$1),0)*1.05</f>
        <v>4172.7</v>
      </c>
      <c r="L1717" s="49">
        <f>ROUND((4106*$T$1),0)*1.05</f>
        <v>4311.3</v>
      </c>
      <c r="M1717" s="49">
        <f>ROUND((4239*$T$1),0)*1.05</f>
        <v>4450.95</v>
      </c>
      <c r="N1717" s="49">
        <f>ROUND((4371*$T$1),0)*1.05</f>
        <v>4589.55</v>
      </c>
      <c r="O1717" s="49">
        <f>ROUND((4467*$T$1),0)*1.05</f>
        <v>4690.3500000000004</v>
      </c>
      <c r="P1717" s="49">
        <f>ROUND((4600*$T$1),0)*1.05</f>
        <v>4830</v>
      </c>
      <c r="Q1717" s="49">
        <f>ROUND((4733*$T$1),0)*1.05</f>
        <v>4969.6500000000005</v>
      </c>
      <c r="R1717" s="33"/>
      <c r="S1717" s="33"/>
      <c r="T1717" s="33"/>
      <c r="U1717" s="33"/>
    </row>
    <row r="1718" spans="1:21" ht="15" customHeight="1" x14ac:dyDescent="0.3">
      <c r="A1718" s="42"/>
      <c r="B1718" s="43" t="s">
        <v>990</v>
      </c>
      <c r="C1718" s="44" t="s">
        <v>45</v>
      </c>
      <c r="D1718" s="47">
        <v>2.2000000000000002</v>
      </c>
      <c r="E1718" s="46" t="s">
        <v>47</v>
      </c>
      <c r="F1718" s="47">
        <v>0.96</v>
      </c>
      <c r="G1718" s="46" t="s">
        <v>48</v>
      </c>
      <c r="H1718" s="47">
        <v>0.98</v>
      </c>
      <c r="I1718" s="48">
        <v>10</v>
      </c>
      <c r="J1718" s="49">
        <f>ROUND((3923*$T$1),0)*1.05</f>
        <v>4119.1500000000005</v>
      </c>
      <c r="K1718" s="49">
        <f>ROUND((4173*$T$1),0)*1.05</f>
        <v>4381.6500000000005</v>
      </c>
      <c r="L1718" s="49">
        <f>ROUND((4311*$T$1),0)*1.05</f>
        <v>4526.55</v>
      </c>
      <c r="M1718" s="49">
        <f>ROUND((4452*$T$1),0)*1.05</f>
        <v>4674.6000000000004</v>
      </c>
      <c r="N1718" s="49">
        <f>ROUND((4590*$T$1),0)*1.05</f>
        <v>4819.5</v>
      </c>
      <c r="O1718" s="49">
        <f>ROUND((4715*$T$1),0)*1.05</f>
        <v>4950.75</v>
      </c>
      <c r="P1718" s="49">
        <f>ROUND((4856*$T$1),0)*1.05</f>
        <v>5098.8</v>
      </c>
      <c r="Q1718" s="49">
        <f>ROUND((4997*$T$1),0)*1.05</f>
        <v>5246.85</v>
      </c>
      <c r="R1718" s="33"/>
      <c r="S1718" s="33"/>
      <c r="T1718" s="33"/>
      <c r="U1718" s="33"/>
    </row>
    <row r="1719" spans="1:21" ht="15" customHeight="1" x14ac:dyDescent="0.3">
      <c r="A1719" s="42"/>
      <c r="B1719" s="43" t="s">
        <v>991</v>
      </c>
      <c r="C1719" s="44" t="s">
        <v>45</v>
      </c>
      <c r="D1719" s="47">
        <v>2.4</v>
      </c>
      <c r="E1719" s="46" t="s">
        <v>47</v>
      </c>
      <c r="F1719" s="47">
        <v>0.96</v>
      </c>
      <c r="G1719" s="46" t="s">
        <v>48</v>
      </c>
      <c r="H1719" s="47">
        <v>0.98</v>
      </c>
      <c r="I1719" s="48">
        <v>10.5</v>
      </c>
      <c r="J1719" s="49">
        <f>ROUND((4118*$T$1),0)*1.05</f>
        <v>4323.9000000000005</v>
      </c>
      <c r="K1719" s="49">
        <f>ROUND((4382*$T$1),0)*1.05</f>
        <v>4601.1000000000004</v>
      </c>
      <c r="L1719" s="49">
        <f>ROUND((4527*$T$1),0)*1.05</f>
        <v>4753.3500000000004</v>
      </c>
      <c r="M1719" s="49">
        <f>ROUND((4674*$T$1),0)*1.05</f>
        <v>4907.7</v>
      </c>
      <c r="N1719" s="49">
        <f>ROUND((4819*$T$1),0)*1.05</f>
        <v>5059.95</v>
      </c>
      <c r="O1719" s="49">
        <f>ROUND((4964*$T$1),0)*1.05</f>
        <v>5212.2</v>
      </c>
      <c r="P1719" s="49">
        <f>ROUND((5111*$T$1),0)*1.05</f>
        <v>5366.55</v>
      </c>
      <c r="Q1719" s="49">
        <f>ROUND((5258*$T$1),0)*1.05</f>
        <v>5520.9000000000005</v>
      </c>
      <c r="R1719" s="33"/>
      <c r="S1719" s="33"/>
      <c r="T1719" s="33"/>
      <c r="U1719" s="33"/>
    </row>
    <row r="1720" spans="1:21" ht="15" customHeight="1" x14ac:dyDescent="0.3">
      <c r="A1720" s="42"/>
      <c r="B1720" s="43" t="s">
        <v>992</v>
      </c>
      <c r="C1720" s="44" t="s">
        <v>45</v>
      </c>
      <c r="D1720" s="47">
        <v>2.6</v>
      </c>
      <c r="E1720" s="46" t="s">
        <v>47</v>
      </c>
      <c r="F1720" s="47">
        <v>0.96</v>
      </c>
      <c r="G1720" s="46" t="s">
        <v>48</v>
      </c>
      <c r="H1720" s="47">
        <v>0.98</v>
      </c>
      <c r="I1720" s="48">
        <v>11</v>
      </c>
      <c r="J1720" s="49">
        <f>ROUND((4324*$T$1),0)*1.05</f>
        <v>4540.2</v>
      </c>
      <c r="K1720" s="49">
        <f>ROUND((4601*$T$1),0)*1.05</f>
        <v>4831.05</v>
      </c>
      <c r="L1720" s="49">
        <f>ROUND((4753*$T$1),0)*1.05</f>
        <v>4990.6500000000005</v>
      </c>
      <c r="M1720" s="49">
        <f>ROUND((4907*$T$1),0)*1.05</f>
        <v>5152.3500000000004</v>
      </c>
      <c r="N1720" s="49">
        <f>ROUND((5060*$T$1),0)*1.05</f>
        <v>5313</v>
      </c>
      <c r="O1720" s="49">
        <f>ROUND((5212*$T$1),0)*1.05</f>
        <v>5472.6</v>
      </c>
      <c r="P1720" s="49">
        <f>ROUND((5365*$T$1),0)*1.05</f>
        <v>5633.25</v>
      </c>
      <c r="Q1720" s="49">
        <f>ROUND((5519*$T$1),0)*1.05</f>
        <v>5794.95</v>
      </c>
      <c r="R1720" s="33"/>
      <c r="S1720" s="33"/>
      <c r="T1720" s="33"/>
      <c r="U1720" s="33"/>
    </row>
    <row r="1721" spans="1:21" ht="15" customHeight="1" x14ac:dyDescent="0.3">
      <c r="A1721" s="42"/>
      <c r="B1721" s="43"/>
      <c r="C1721" s="44"/>
      <c r="D1721" s="47"/>
      <c r="E1721" s="46"/>
      <c r="F1721" s="47"/>
      <c r="G1721" s="46"/>
      <c r="H1721" s="47"/>
      <c r="I1721" s="48"/>
      <c r="J1721" s="49"/>
      <c r="K1721" s="49"/>
      <c r="L1721" s="49"/>
      <c r="M1721" s="49"/>
      <c r="N1721" s="49"/>
      <c r="O1721" s="49"/>
      <c r="P1721" s="49"/>
      <c r="Q1721" s="49"/>
      <c r="R1721" s="33"/>
      <c r="S1721" s="33"/>
      <c r="T1721" s="33"/>
      <c r="U1721" s="33"/>
    </row>
    <row r="1722" spans="1:21" ht="15" customHeight="1" x14ac:dyDescent="0.3">
      <c r="A1722" s="42"/>
      <c r="B1722" s="43" t="s">
        <v>981</v>
      </c>
      <c r="C1722" s="44" t="s">
        <v>45</v>
      </c>
      <c r="D1722" s="47">
        <v>1</v>
      </c>
      <c r="E1722" s="46" t="s">
        <v>47</v>
      </c>
      <c r="F1722" s="47">
        <v>1.6</v>
      </c>
      <c r="G1722" s="46" t="s">
        <v>48</v>
      </c>
      <c r="H1722" s="47">
        <v>0.98</v>
      </c>
      <c r="I1722" s="48">
        <v>5.5</v>
      </c>
      <c r="J1722" s="49">
        <f>ROUND((2929*$T$1),0)*1.05</f>
        <v>3075.4500000000003</v>
      </c>
      <c r="K1722" s="49">
        <f>ROUND((3116*$T$1),0)*1.05</f>
        <v>3271.8</v>
      </c>
      <c r="L1722" s="49">
        <f>ROUND((3181*$T$1),0)*1.05</f>
        <v>3340.05</v>
      </c>
      <c r="M1722" s="49">
        <f>ROUND((3245*$T$1),0)*1.05</f>
        <v>3407.25</v>
      </c>
      <c r="N1722" s="49">
        <f>ROUND((3309*$T$1),0)*1.05</f>
        <v>3474.4500000000003</v>
      </c>
      <c r="O1722" s="49">
        <f>ROUND((3372*$T$1),0)*1.05</f>
        <v>3540.6000000000004</v>
      </c>
      <c r="P1722" s="49">
        <f>ROUND((3436*$T$1),0)*1.05</f>
        <v>3607.8</v>
      </c>
      <c r="Q1722" s="49">
        <f>ROUND((3500*$T$1),0)*1.05</f>
        <v>3675</v>
      </c>
      <c r="R1722" s="33"/>
      <c r="S1722" s="33"/>
      <c r="T1722" s="33"/>
      <c r="U1722" s="33"/>
    </row>
    <row r="1723" spans="1:21" ht="15" customHeight="1" x14ac:dyDescent="0.3">
      <c r="A1723" s="42"/>
      <c r="B1723" s="43" t="s">
        <v>982</v>
      </c>
      <c r="C1723" s="44" t="s">
        <v>45</v>
      </c>
      <c r="D1723" s="47">
        <v>1.1000000000000001</v>
      </c>
      <c r="E1723" s="46" t="s">
        <v>47</v>
      </c>
      <c r="F1723" s="47">
        <v>1.6</v>
      </c>
      <c r="G1723" s="46" t="s">
        <v>48</v>
      </c>
      <c r="H1723" s="47">
        <v>0.98</v>
      </c>
      <c r="I1723" s="48">
        <v>6</v>
      </c>
      <c r="J1723" s="49">
        <f>ROUND((3084*$T$1),0)*1.05</f>
        <v>3238.2000000000003</v>
      </c>
      <c r="K1723" s="49">
        <f>ROUND((3281*$T$1),0)*1.05</f>
        <v>3445.05</v>
      </c>
      <c r="L1723" s="49">
        <f>ROUND((3347*$T$1),0)*1.05</f>
        <v>3514.3500000000004</v>
      </c>
      <c r="M1723" s="49">
        <f>ROUND((3415*$T$1),0)*1.05</f>
        <v>3585.75</v>
      </c>
      <c r="N1723" s="49">
        <f>ROUND((3483*$T$1),0)*1.05</f>
        <v>3657.15</v>
      </c>
      <c r="O1723" s="49">
        <f>ROUND((3550*$T$1),0)*1.05</f>
        <v>3727.5</v>
      </c>
      <c r="P1723" s="49">
        <f>ROUND((3618*$T$1),0)*1.05</f>
        <v>3798.9</v>
      </c>
      <c r="Q1723" s="49">
        <f>ROUND((3686*$T$1),0)*1.05</f>
        <v>3870.3</v>
      </c>
      <c r="R1723" s="33"/>
      <c r="S1723" s="33"/>
      <c r="T1723" s="33"/>
      <c r="U1723" s="33"/>
    </row>
    <row r="1724" spans="1:21" ht="15" customHeight="1" x14ac:dyDescent="0.3">
      <c r="A1724" s="42"/>
      <c r="B1724" s="43" t="s">
        <v>983</v>
      </c>
      <c r="C1724" s="44" t="s">
        <v>45</v>
      </c>
      <c r="D1724" s="47">
        <v>1.2</v>
      </c>
      <c r="E1724" s="46" t="s">
        <v>47</v>
      </c>
      <c r="F1724" s="47">
        <v>1.6</v>
      </c>
      <c r="G1724" s="46" t="s">
        <v>48</v>
      </c>
      <c r="H1724" s="47">
        <v>0.98</v>
      </c>
      <c r="I1724" s="48">
        <v>6.5</v>
      </c>
      <c r="J1724" s="49">
        <f>ROUND((3246*$T$1),0)*1.05</f>
        <v>3408.3</v>
      </c>
      <c r="K1724" s="49">
        <f>ROUND((3453*$T$1),0)*1.05</f>
        <v>3625.65</v>
      </c>
      <c r="L1724" s="49">
        <f>ROUND((3524*$T$1),0)*1.05</f>
        <v>3700.2000000000003</v>
      </c>
      <c r="M1724" s="49">
        <f>ROUND((3595*$T$1),0)*1.05</f>
        <v>3774.75</v>
      </c>
      <c r="N1724" s="49">
        <f>ROUND((3666*$T$1),0)*1.05</f>
        <v>3849.3</v>
      </c>
      <c r="O1724" s="49">
        <f>ROUND((3738*$T$1),0)*1.05</f>
        <v>3924.9</v>
      </c>
      <c r="P1724" s="49">
        <f>ROUND((3809*$T$1),0)*1.05</f>
        <v>3999.4500000000003</v>
      </c>
      <c r="Q1724" s="49">
        <f>ROUND((3880*$T$1),0)*1.05</f>
        <v>4074</v>
      </c>
      <c r="R1724" s="33"/>
      <c r="S1724" s="33"/>
      <c r="T1724" s="33"/>
      <c r="U1724" s="33"/>
    </row>
    <row r="1725" spans="1:21" ht="15" customHeight="1" x14ac:dyDescent="0.3">
      <c r="A1725" s="42"/>
      <c r="B1725" s="43" t="s">
        <v>984</v>
      </c>
      <c r="C1725" s="44" t="s">
        <v>45</v>
      </c>
      <c r="D1725" s="47">
        <v>1.3</v>
      </c>
      <c r="E1725" s="46" t="s">
        <v>47</v>
      </c>
      <c r="F1725" s="47">
        <v>1.6</v>
      </c>
      <c r="G1725" s="46" t="s">
        <v>48</v>
      </c>
      <c r="H1725" s="47">
        <v>0.98</v>
      </c>
      <c r="I1725" s="48">
        <v>7</v>
      </c>
      <c r="J1725" s="49">
        <f>ROUND((3417*$T$1),0)*1.05</f>
        <v>3587.8500000000004</v>
      </c>
      <c r="K1725" s="49">
        <f>ROUND((3635*$T$1),0)*1.05</f>
        <v>3816.75</v>
      </c>
      <c r="L1725" s="49">
        <f>ROUND((3710*$T$1),0)*1.05</f>
        <v>3895.5</v>
      </c>
      <c r="M1725" s="49">
        <f>ROUND((3784*$T$1),0)*1.05</f>
        <v>3973.2000000000003</v>
      </c>
      <c r="N1725" s="49">
        <f>ROUND((3859*$T$1),0)*1.05</f>
        <v>4051.9500000000003</v>
      </c>
      <c r="O1725" s="49">
        <f>ROUND((3934*$T$1),0)*1.05</f>
        <v>4130.7</v>
      </c>
      <c r="P1725" s="49">
        <f>ROUND((4009*$T$1),0)*1.05</f>
        <v>4209.45</v>
      </c>
      <c r="Q1725" s="49">
        <f>ROUND((4084*$T$1),0)*1.05</f>
        <v>4288.2</v>
      </c>
      <c r="R1725" s="33"/>
      <c r="S1725" s="33"/>
      <c r="T1725" s="33"/>
      <c r="U1725" s="33"/>
    </row>
    <row r="1726" spans="1:21" ht="15" customHeight="1" x14ac:dyDescent="0.3">
      <c r="A1726" s="42"/>
      <c r="B1726" s="43" t="s">
        <v>985</v>
      </c>
      <c r="C1726" s="44" t="s">
        <v>45</v>
      </c>
      <c r="D1726" s="47">
        <v>1.4</v>
      </c>
      <c r="E1726" s="46" t="s">
        <v>47</v>
      </c>
      <c r="F1726" s="47">
        <v>1.6</v>
      </c>
      <c r="G1726" s="46" t="s">
        <v>48</v>
      </c>
      <c r="H1726" s="47">
        <v>0.98</v>
      </c>
      <c r="I1726" s="48">
        <v>7.5</v>
      </c>
      <c r="J1726" s="49">
        <f>ROUND((3596*$T$1),0)*1.05</f>
        <v>3775.8</v>
      </c>
      <c r="K1726" s="49">
        <f>ROUND((3827*$T$1),0)*1.05</f>
        <v>4018.3500000000004</v>
      </c>
      <c r="L1726" s="49">
        <f>ROUND((3905*$T$1),0)*1.05</f>
        <v>4100.25</v>
      </c>
      <c r="M1726" s="49">
        <f>ROUND((3983*$T$1),0)*1.05</f>
        <v>4182.1500000000005</v>
      </c>
      <c r="N1726" s="49">
        <f>ROUND((4061*$T$1),0)*1.05</f>
        <v>4264.05</v>
      </c>
      <c r="O1726" s="49">
        <f>ROUND((4141*$T$1),0)*1.05</f>
        <v>4348.05</v>
      </c>
      <c r="P1726" s="49">
        <f>ROUND((4219*$T$1),0)*1.05</f>
        <v>4429.95</v>
      </c>
      <c r="Q1726" s="49">
        <f>ROUND((4297*$T$1),0)*1.05</f>
        <v>4511.8500000000004</v>
      </c>
      <c r="R1726" s="33"/>
      <c r="S1726" s="33"/>
      <c r="T1726" s="33"/>
      <c r="U1726" s="33"/>
    </row>
    <row r="1727" spans="1:21" ht="15" customHeight="1" x14ac:dyDescent="0.3">
      <c r="A1727" s="42"/>
      <c r="B1727" s="43"/>
      <c r="C1727" s="44"/>
      <c r="D1727" s="47"/>
      <c r="E1727" s="46"/>
      <c r="F1727" s="47"/>
      <c r="G1727" s="46"/>
      <c r="H1727" s="47"/>
      <c r="I1727" s="48"/>
      <c r="J1727" s="49"/>
      <c r="K1727" s="49"/>
      <c r="L1727" s="49"/>
      <c r="M1727" s="49"/>
      <c r="N1727" s="49"/>
      <c r="O1727" s="49"/>
      <c r="P1727" s="49"/>
      <c r="Q1727" s="49"/>
      <c r="R1727" s="33"/>
      <c r="S1727" s="33"/>
      <c r="T1727" s="33"/>
      <c r="U1727" s="33"/>
    </row>
    <row r="1728" spans="1:21" ht="15" customHeight="1" x14ac:dyDescent="0.3">
      <c r="A1728" s="42"/>
      <c r="B1728" s="86"/>
      <c r="C1728" s="119"/>
      <c r="D1728" s="86"/>
      <c r="E1728" s="86"/>
      <c r="F1728" s="86"/>
      <c r="G1728" s="86"/>
      <c r="H1728" s="86"/>
      <c r="I1728" s="55"/>
      <c r="J1728" s="56"/>
      <c r="K1728" s="56"/>
      <c r="L1728" s="56"/>
      <c r="M1728" s="87" t="s">
        <v>134</v>
      </c>
      <c r="N1728" s="56"/>
      <c r="O1728" s="56"/>
      <c r="P1728" s="56"/>
      <c r="Q1728" s="56"/>
    </row>
    <row r="1729" spans="1:21" ht="15" customHeight="1" x14ac:dyDescent="0.3">
      <c r="A1729" s="42"/>
      <c r="B1729" s="59" t="s">
        <v>993</v>
      </c>
      <c r="C1729" s="60"/>
      <c r="D1729" s="59"/>
      <c r="E1729" s="59"/>
      <c r="F1729" s="59"/>
      <c r="G1729" s="59"/>
      <c r="H1729" s="59"/>
      <c r="I1729" s="61"/>
      <c r="J1729" s="62"/>
      <c r="K1729" s="62"/>
      <c r="L1729" s="62"/>
      <c r="M1729" s="62"/>
      <c r="N1729" s="62"/>
      <c r="O1729" s="62"/>
      <c r="P1729" s="62"/>
      <c r="Q1729" s="62"/>
    </row>
    <row r="1731" spans="1:21" ht="29.1" customHeight="1" x14ac:dyDescent="0.25">
      <c r="A1731" s="127" t="s">
        <v>994</v>
      </c>
      <c r="B1731" s="77"/>
      <c r="C1731" s="187" t="s">
        <v>41</v>
      </c>
      <c r="D1731" s="187"/>
      <c r="E1731" s="187"/>
      <c r="F1731" s="187"/>
      <c r="G1731" s="187"/>
      <c r="H1731" s="187"/>
      <c r="I1731" s="78" t="s">
        <v>42</v>
      </c>
      <c r="J1731" s="41" t="s">
        <v>43</v>
      </c>
      <c r="K1731" s="41">
        <v>1000</v>
      </c>
      <c r="L1731" s="41">
        <v>2000</v>
      </c>
      <c r="M1731" s="41">
        <v>3000</v>
      </c>
      <c r="N1731" s="41">
        <v>4000</v>
      </c>
      <c r="O1731" s="41">
        <v>5000</v>
      </c>
      <c r="P1731" s="41">
        <v>6000</v>
      </c>
      <c r="Q1731" s="41">
        <v>7000</v>
      </c>
    </row>
    <row r="1732" spans="1:21" ht="15" customHeight="1" x14ac:dyDescent="0.3">
      <c r="A1732" s="42"/>
      <c r="B1732" s="43" t="s">
        <v>976</v>
      </c>
      <c r="C1732" s="44" t="s">
        <v>45</v>
      </c>
      <c r="D1732" s="47">
        <v>1</v>
      </c>
      <c r="E1732" s="46" t="s">
        <v>47</v>
      </c>
      <c r="F1732" s="47">
        <v>1.2</v>
      </c>
      <c r="G1732" s="46" t="s">
        <v>48</v>
      </c>
      <c r="H1732" s="47">
        <v>0.98</v>
      </c>
      <c r="I1732" s="48">
        <v>9.5</v>
      </c>
      <c r="J1732" s="49">
        <f>ROUND((1942*$T$1),0)*1.05</f>
        <v>2039.1000000000001</v>
      </c>
      <c r="K1732" s="49">
        <f>ROUND((2066*$T$1),0)*1.05</f>
        <v>2169.3000000000002</v>
      </c>
      <c r="L1732" s="49">
        <f>ROUND((2222*$T$1),0)*1.05</f>
        <v>2333.1</v>
      </c>
      <c r="M1732" s="49">
        <f>ROUND((2379*$T$1),0)*1.05</f>
        <v>2497.9500000000003</v>
      </c>
      <c r="N1732" s="49">
        <f>ROUND((2536*$T$1),0)*1.05</f>
        <v>2662.8</v>
      </c>
      <c r="O1732" s="49">
        <f>ROUND((2694*$T$1),0)*1.05</f>
        <v>2828.7000000000003</v>
      </c>
      <c r="P1732" s="49">
        <f>ROUND((2852*$T$1),0)*1.05</f>
        <v>2994.6</v>
      </c>
      <c r="Q1732" s="49">
        <f>ROUND((3010*$T$1),0)*1.05</f>
        <v>3160.5</v>
      </c>
      <c r="R1732" s="33"/>
      <c r="S1732" s="33"/>
      <c r="T1732" s="33"/>
      <c r="U1732" s="33"/>
    </row>
    <row r="1733" spans="1:21" ht="15" customHeight="1" x14ac:dyDescent="0.3">
      <c r="A1733" s="42"/>
      <c r="B1733" s="43" t="s">
        <v>977</v>
      </c>
      <c r="C1733" s="44" t="s">
        <v>45</v>
      </c>
      <c r="D1733" s="47">
        <v>1.1000000000000001</v>
      </c>
      <c r="E1733" s="46" t="s">
        <v>47</v>
      </c>
      <c r="F1733" s="47">
        <v>1.2</v>
      </c>
      <c r="G1733" s="46" t="s">
        <v>48</v>
      </c>
      <c r="H1733" s="47">
        <v>0.98</v>
      </c>
      <c r="I1733" s="48">
        <v>10</v>
      </c>
      <c r="J1733" s="49">
        <f>ROUND((2044*$T$1),0)*1.05</f>
        <v>2146.2000000000003</v>
      </c>
      <c r="K1733" s="49">
        <f>ROUND((2174*$T$1),0)*1.05</f>
        <v>2282.7000000000003</v>
      </c>
      <c r="L1733" s="49">
        <f>ROUND((2340*$T$1),0)*1.05</f>
        <v>2457</v>
      </c>
      <c r="M1733" s="49">
        <f>ROUND((2505*$T$1),0)*1.05</f>
        <v>2630.25</v>
      </c>
      <c r="N1733" s="49">
        <f>ROUND((2670*$T$1),0)*1.05</f>
        <v>2803.5</v>
      </c>
      <c r="O1733" s="49">
        <f>ROUND((2836*$T$1),0)*1.05</f>
        <v>2977.8</v>
      </c>
      <c r="P1733" s="49">
        <f>ROUND((3001*$T$1),0)*1.05</f>
        <v>3151.05</v>
      </c>
      <c r="Q1733" s="49">
        <f>ROUND((3166*$T$1),0)*1.05</f>
        <v>3324.3</v>
      </c>
      <c r="R1733" s="33"/>
      <c r="S1733" s="33"/>
      <c r="T1733" s="33"/>
      <c r="U1733" s="33"/>
    </row>
    <row r="1734" spans="1:21" ht="15" customHeight="1" x14ac:dyDescent="0.3">
      <c r="A1734" s="42"/>
      <c r="B1734" s="43" t="s">
        <v>978</v>
      </c>
      <c r="C1734" s="44" t="s">
        <v>45</v>
      </c>
      <c r="D1734" s="47">
        <v>1.2</v>
      </c>
      <c r="E1734" s="46" t="s">
        <v>47</v>
      </c>
      <c r="F1734" s="47">
        <v>1.2</v>
      </c>
      <c r="G1734" s="46" t="s">
        <v>48</v>
      </c>
      <c r="H1734" s="47">
        <v>0.98</v>
      </c>
      <c r="I1734" s="48">
        <v>10.5</v>
      </c>
      <c r="J1734" s="49">
        <f>ROUND((2152*$T$1),0)*1.05</f>
        <v>2259.6</v>
      </c>
      <c r="K1734" s="49">
        <f>ROUND((2289*$T$1),0)*1.05</f>
        <v>2403.4500000000003</v>
      </c>
      <c r="L1734" s="49">
        <f>ROUND((2462*$T$1),0)*1.05</f>
        <v>2585.1</v>
      </c>
      <c r="M1734" s="49">
        <f>ROUND((2636*$T$1),0)*1.05</f>
        <v>2767.8</v>
      </c>
      <c r="N1734" s="49">
        <f>ROUND((2811*$T$1),0)*1.05</f>
        <v>2951.55</v>
      </c>
      <c r="O1734" s="49">
        <f>ROUND((2985*$T$1),0)*1.05</f>
        <v>3134.25</v>
      </c>
      <c r="P1734" s="49">
        <f>ROUND((3160*$T$1),0)*1.05</f>
        <v>3318</v>
      </c>
      <c r="Q1734" s="49">
        <f>ROUND((3335*$T$1),0)*1.05</f>
        <v>3501.75</v>
      </c>
      <c r="R1734" s="33"/>
      <c r="S1734" s="33"/>
      <c r="T1734" s="33"/>
      <c r="U1734" s="33"/>
    </row>
    <row r="1735" spans="1:21" ht="15" customHeight="1" x14ac:dyDescent="0.3">
      <c r="A1735" s="42"/>
      <c r="B1735" s="43" t="s">
        <v>979</v>
      </c>
      <c r="C1735" s="44" t="s">
        <v>45</v>
      </c>
      <c r="D1735" s="47">
        <v>1.3</v>
      </c>
      <c r="E1735" s="46" t="s">
        <v>47</v>
      </c>
      <c r="F1735" s="47">
        <v>1.2</v>
      </c>
      <c r="G1735" s="46" t="s">
        <v>48</v>
      </c>
      <c r="H1735" s="47">
        <v>0.98</v>
      </c>
      <c r="I1735" s="48">
        <v>11</v>
      </c>
      <c r="J1735" s="49">
        <f>ROUND((2259*$T$1),0)*1.05</f>
        <v>2371.9500000000003</v>
      </c>
      <c r="K1735" s="49">
        <f>ROUND((2403*$T$1),0)*1.05</f>
        <v>2523.15</v>
      </c>
      <c r="L1735" s="49">
        <f>ROUND((2586*$T$1),0)*1.05</f>
        <v>2715.3</v>
      </c>
      <c r="M1735" s="49">
        <f>ROUND((2768*$T$1),0)*1.05</f>
        <v>2906.4</v>
      </c>
      <c r="N1735" s="49">
        <f>ROUND((2951*$T$1),0)*1.05</f>
        <v>3098.55</v>
      </c>
      <c r="O1735" s="49">
        <f>ROUND((3135*$T$1),0)*1.05</f>
        <v>3291.75</v>
      </c>
      <c r="P1735" s="49">
        <f>ROUND((3318*$T$1),0)*1.05</f>
        <v>3483.9</v>
      </c>
      <c r="Q1735" s="49">
        <f>ROUND((3501*$T$1),0)*1.05</f>
        <v>3676.05</v>
      </c>
      <c r="R1735" s="33"/>
      <c r="S1735" s="33"/>
      <c r="T1735" s="33"/>
      <c r="U1735" s="33"/>
    </row>
    <row r="1736" spans="1:21" ht="15" customHeight="1" x14ac:dyDescent="0.3">
      <c r="A1736" s="42"/>
      <c r="B1736" s="43" t="s">
        <v>980</v>
      </c>
      <c r="C1736" s="44" t="s">
        <v>45</v>
      </c>
      <c r="D1736" s="47">
        <v>1.4</v>
      </c>
      <c r="E1736" s="46" t="s">
        <v>47</v>
      </c>
      <c r="F1736" s="47">
        <v>1.2</v>
      </c>
      <c r="G1736" s="46" t="s">
        <v>48</v>
      </c>
      <c r="H1736" s="47">
        <v>0.98</v>
      </c>
      <c r="I1736" s="48">
        <v>11.5</v>
      </c>
      <c r="J1736" s="49">
        <f>ROUND((2372*$T$1),0)*1.05</f>
        <v>2490.6</v>
      </c>
      <c r="K1736" s="49">
        <f>ROUND((2524*$T$1),0)*1.05</f>
        <v>2650.2000000000003</v>
      </c>
      <c r="L1736" s="49">
        <f>ROUND((2716*$T$1),0)*1.05</f>
        <v>2851.8</v>
      </c>
      <c r="M1736" s="49">
        <f>ROUND((2907*$T$1),0)*1.05</f>
        <v>3052.35</v>
      </c>
      <c r="N1736" s="49">
        <f>ROUND((3099*$T$1),0)*1.05</f>
        <v>3253.9500000000003</v>
      </c>
      <c r="O1736" s="49">
        <f>ROUND((3291*$T$1),0)*1.05</f>
        <v>3455.55</v>
      </c>
      <c r="P1736" s="49">
        <f>ROUND((3483*$T$1),0)*1.05</f>
        <v>3657.15</v>
      </c>
      <c r="Q1736" s="49">
        <f>ROUND((3675*$T$1),0)*1.05</f>
        <v>3858.75</v>
      </c>
      <c r="R1736" s="33"/>
      <c r="S1736" s="33"/>
      <c r="T1736" s="33"/>
      <c r="U1736" s="33"/>
    </row>
    <row r="1737" spans="1:21" ht="15" customHeight="1" x14ac:dyDescent="0.3">
      <c r="A1737" s="42"/>
      <c r="B1737" s="43"/>
      <c r="C1737" s="44"/>
      <c r="D1737" s="47"/>
      <c r="E1737" s="46"/>
      <c r="F1737" s="47"/>
      <c r="G1737" s="46"/>
      <c r="H1737" s="47"/>
      <c r="I1737" s="48"/>
      <c r="J1737" s="49"/>
      <c r="K1737" s="49"/>
      <c r="L1737" s="49"/>
      <c r="M1737" s="49"/>
      <c r="N1737" s="49"/>
      <c r="O1737" s="49"/>
      <c r="P1737" s="49"/>
      <c r="Q1737" s="49"/>
      <c r="R1737" s="33"/>
      <c r="S1737" s="33"/>
      <c r="T1737" s="33"/>
      <c r="U1737" s="33"/>
    </row>
    <row r="1738" spans="1:21" ht="15" customHeight="1" x14ac:dyDescent="0.3">
      <c r="A1738" s="42"/>
      <c r="B1738" s="43" t="s">
        <v>969</v>
      </c>
      <c r="C1738" s="44" t="s">
        <v>45</v>
      </c>
      <c r="D1738" s="47">
        <v>0.8</v>
      </c>
      <c r="E1738" s="46" t="s">
        <v>47</v>
      </c>
      <c r="F1738" s="47">
        <v>1.2</v>
      </c>
      <c r="G1738" s="46" t="s">
        <v>48</v>
      </c>
      <c r="H1738" s="47">
        <v>0.98</v>
      </c>
      <c r="I1738" s="48">
        <v>8.5</v>
      </c>
      <c r="J1738" s="49">
        <f>ROUND((1748*$T$1),0)*1.05</f>
        <v>1835.4</v>
      </c>
      <c r="K1738" s="49">
        <f>ROUND((1858*$T$1),0)*1.05</f>
        <v>1950.9</v>
      </c>
      <c r="L1738" s="49">
        <f>ROUND((1999*$T$1),0)*1.05</f>
        <v>2098.9500000000003</v>
      </c>
      <c r="M1738" s="49">
        <f>ROUND((2142*$T$1),0)*1.05</f>
        <v>2249.1</v>
      </c>
      <c r="N1738" s="49">
        <f>ROUND((2285*$T$1),0)*1.05</f>
        <v>2399.25</v>
      </c>
      <c r="O1738" s="49">
        <f>ROUND((2428*$T$1),0)*1.05</f>
        <v>2549.4</v>
      </c>
      <c r="P1738" s="49">
        <f>ROUND((2571*$T$1),0)*1.05</f>
        <v>2699.55</v>
      </c>
      <c r="Q1738" s="49">
        <f>ROUND((2714*$T$1),0)*1.05</f>
        <v>2849.7000000000003</v>
      </c>
      <c r="R1738" s="33"/>
      <c r="S1738" s="33"/>
      <c r="T1738" s="33"/>
      <c r="U1738" s="33"/>
    </row>
    <row r="1739" spans="1:21" ht="15" customHeight="1" x14ac:dyDescent="0.3">
      <c r="A1739" s="42"/>
      <c r="B1739" s="43" t="s">
        <v>970</v>
      </c>
      <c r="C1739" s="44" t="s">
        <v>45</v>
      </c>
      <c r="D1739" s="47">
        <v>0.9</v>
      </c>
      <c r="E1739" s="46" t="s">
        <v>47</v>
      </c>
      <c r="F1739" s="47">
        <v>1.2</v>
      </c>
      <c r="G1739" s="46" t="s">
        <v>48</v>
      </c>
      <c r="H1739" s="47">
        <v>0.98</v>
      </c>
      <c r="I1739" s="48">
        <v>9</v>
      </c>
      <c r="J1739" s="49">
        <f>ROUND((1839*$T$1),0)*1.05</f>
        <v>1930.95</v>
      </c>
      <c r="K1739" s="49">
        <f>ROUND((1958*$T$1),0)*1.05</f>
        <v>2055.9</v>
      </c>
      <c r="L1739" s="49">
        <f>ROUND((2105*$T$1),0)*1.05</f>
        <v>2210.25</v>
      </c>
      <c r="M1739" s="49">
        <f>ROUND((2255*$T$1),0)*1.05</f>
        <v>2367.75</v>
      </c>
      <c r="N1739" s="49">
        <f>ROUND((2402*$T$1),0)*1.05</f>
        <v>2522.1</v>
      </c>
      <c r="O1739" s="49">
        <f>ROUND((2553*$T$1),0)*1.05</f>
        <v>2680.65</v>
      </c>
      <c r="P1739" s="49">
        <f>ROUND((2700*$T$1),0)*1.05</f>
        <v>2835</v>
      </c>
      <c r="Q1739" s="49">
        <f>ROUND((2847*$T$1),0)*1.05</f>
        <v>2989.35</v>
      </c>
      <c r="R1739" s="33"/>
      <c r="S1739" s="33"/>
      <c r="T1739" s="33"/>
      <c r="U1739" s="33"/>
    </row>
    <row r="1740" spans="1:21" ht="15" customHeight="1" x14ac:dyDescent="0.3">
      <c r="A1740" s="42"/>
      <c r="B1740" s="43" t="s">
        <v>971</v>
      </c>
      <c r="C1740" s="44" t="s">
        <v>45</v>
      </c>
      <c r="D1740" s="47">
        <v>1</v>
      </c>
      <c r="E1740" s="46" t="s">
        <v>47</v>
      </c>
      <c r="F1740" s="47">
        <v>1.2</v>
      </c>
      <c r="G1740" s="46" t="s">
        <v>48</v>
      </c>
      <c r="H1740" s="47">
        <v>0.98</v>
      </c>
      <c r="I1740" s="48">
        <v>9.5</v>
      </c>
      <c r="J1740" s="49">
        <f>ROUND((1937*$T$1),0)*1.05</f>
        <v>2033.8500000000001</v>
      </c>
      <c r="K1740" s="49">
        <f>ROUND((2060*$T$1),0)*1.05</f>
        <v>2163</v>
      </c>
      <c r="L1740" s="49">
        <f>ROUND((2217*$T$1),0)*1.05</f>
        <v>2327.85</v>
      </c>
      <c r="M1740" s="49">
        <f>ROUND((2373*$T$1),0)*1.05</f>
        <v>2491.65</v>
      </c>
      <c r="N1740" s="49">
        <f>ROUND((2530*$T$1),0)*1.05</f>
        <v>2656.5</v>
      </c>
      <c r="O1740" s="49">
        <f>ROUND((2686*$T$1),0)*1.05</f>
        <v>2820.3</v>
      </c>
      <c r="P1740" s="49">
        <f>ROUND((2842*$T$1),0)*1.05</f>
        <v>2984.1</v>
      </c>
      <c r="Q1740" s="49">
        <f>ROUND((2998*$T$1),0)*1.05</f>
        <v>3147.9</v>
      </c>
      <c r="R1740" s="33"/>
      <c r="S1740" s="33"/>
      <c r="T1740" s="33"/>
      <c r="U1740" s="33"/>
    </row>
    <row r="1741" spans="1:21" ht="15" customHeight="1" x14ac:dyDescent="0.3">
      <c r="A1741" s="42"/>
      <c r="B1741" s="43" t="s">
        <v>972</v>
      </c>
      <c r="C1741" s="44" t="s">
        <v>45</v>
      </c>
      <c r="D1741" s="47">
        <v>1.1000000000000001</v>
      </c>
      <c r="E1741" s="46" t="s">
        <v>47</v>
      </c>
      <c r="F1741" s="47">
        <v>1.2</v>
      </c>
      <c r="G1741" s="46" t="s">
        <v>48</v>
      </c>
      <c r="H1741" s="47">
        <v>0.98</v>
      </c>
      <c r="I1741" s="48">
        <v>10</v>
      </c>
      <c r="J1741" s="49">
        <f>ROUND((2033*$T$1),0)*1.05</f>
        <v>2134.65</v>
      </c>
      <c r="K1741" s="49">
        <f>ROUND((2162*$T$1),0)*1.05</f>
        <v>2270.1</v>
      </c>
      <c r="L1741" s="49">
        <f>ROUND((2327*$T$1),0)*1.05</f>
        <v>2443.35</v>
      </c>
      <c r="M1741" s="49">
        <f>ROUND((2492*$T$1),0)*1.05</f>
        <v>2616.6</v>
      </c>
      <c r="N1741" s="49">
        <f>ROUND((2656*$T$1),0)*1.05</f>
        <v>2788.8</v>
      </c>
      <c r="O1741" s="49">
        <f>ROUND((2821*$T$1),0)*1.05</f>
        <v>2962.05</v>
      </c>
      <c r="P1741" s="49">
        <f>ROUND((2986*$T$1),0)*1.05</f>
        <v>3135.3</v>
      </c>
      <c r="Q1741" s="49">
        <f>ROUND((3151*$T$1),0)*1.05</f>
        <v>3308.55</v>
      </c>
      <c r="R1741" s="33"/>
      <c r="S1741" s="33"/>
      <c r="T1741" s="33"/>
      <c r="U1741" s="33"/>
    </row>
    <row r="1742" spans="1:21" ht="15" customHeight="1" x14ac:dyDescent="0.3">
      <c r="A1742" s="42"/>
      <c r="B1742" s="43" t="s">
        <v>973</v>
      </c>
      <c r="C1742" s="44" t="s">
        <v>45</v>
      </c>
      <c r="D1742" s="47">
        <v>1.2</v>
      </c>
      <c r="E1742" s="46" t="s">
        <v>47</v>
      </c>
      <c r="F1742" s="47">
        <v>1.2</v>
      </c>
      <c r="G1742" s="46" t="s">
        <v>48</v>
      </c>
      <c r="H1742" s="47">
        <v>0.98</v>
      </c>
      <c r="I1742" s="48">
        <v>10.5</v>
      </c>
      <c r="J1742" s="49">
        <f>ROUND((2135*$T$1),0)*1.05</f>
        <v>2241.75</v>
      </c>
      <c r="K1742" s="49">
        <f>ROUND((2271*$T$1),0)*1.05</f>
        <v>2384.5500000000002</v>
      </c>
      <c r="L1742" s="49">
        <f>ROUND((2444*$T$1),0)*1.05</f>
        <v>2566.2000000000003</v>
      </c>
      <c r="M1742" s="49">
        <f>ROUND((2616*$T$1),0)*1.05</f>
        <v>2746.8</v>
      </c>
      <c r="N1742" s="49">
        <f>ROUND((2790*$T$1),0)*1.05</f>
        <v>2929.5</v>
      </c>
      <c r="O1742" s="49">
        <f>ROUND((2962*$T$1),0)*1.05</f>
        <v>3110.1</v>
      </c>
      <c r="P1742" s="49">
        <f>ROUND((3134*$T$1),0)*1.05</f>
        <v>3290.7000000000003</v>
      </c>
      <c r="Q1742" s="49">
        <f>ROUND((3306*$T$1),0)*1.05</f>
        <v>3471.3</v>
      </c>
      <c r="R1742" s="33"/>
      <c r="S1742" s="33"/>
      <c r="T1742" s="33"/>
      <c r="U1742" s="33"/>
    </row>
    <row r="1743" spans="1:21" ht="15" customHeight="1" x14ac:dyDescent="0.3">
      <c r="A1743" s="42"/>
      <c r="B1743" s="43"/>
      <c r="C1743" s="44"/>
      <c r="D1743" s="47"/>
      <c r="E1743" s="46"/>
      <c r="F1743" s="47"/>
      <c r="G1743" s="46"/>
      <c r="H1743" s="47"/>
      <c r="I1743" s="48"/>
      <c r="J1743" s="49"/>
      <c r="K1743" s="49"/>
      <c r="L1743" s="49"/>
      <c r="M1743" s="49"/>
      <c r="N1743" s="49"/>
      <c r="O1743" s="49"/>
      <c r="P1743" s="49"/>
      <c r="Q1743" s="49"/>
    </row>
    <row r="1744" spans="1:21" ht="15" customHeight="1" x14ac:dyDescent="0.3">
      <c r="A1744" s="42"/>
      <c r="B1744" s="118" t="s">
        <v>190</v>
      </c>
      <c r="C1744" s="119"/>
      <c r="D1744" s="86"/>
      <c r="E1744" s="86"/>
      <c r="F1744" s="86"/>
      <c r="G1744" s="86"/>
      <c r="H1744" s="86"/>
      <c r="I1744" s="55"/>
      <c r="J1744" s="56"/>
      <c r="K1744" s="56"/>
      <c r="L1744" s="56"/>
      <c r="M1744" s="87" t="s">
        <v>134</v>
      </c>
      <c r="N1744" s="56"/>
      <c r="O1744" s="56"/>
      <c r="P1744" s="56"/>
      <c r="Q1744" s="56"/>
    </row>
    <row r="1745" spans="1:21" ht="15" customHeight="1" x14ac:dyDescent="0.3">
      <c r="A1745" s="42"/>
      <c r="B1745" s="59" t="s">
        <v>995</v>
      </c>
      <c r="C1745" s="60"/>
      <c r="D1745" s="59"/>
      <c r="E1745" s="59"/>
      <c r="F1745" s="59"/>
      <c r="G1745" s="59"/>
      <c r="H1745" s="59"/>
      <c r="I1745" s="61"/>
      <c r="J1745" s="62"/>
      <c r="K1745" s="62"/>
      <c r="L1745" s="62"/>
      <c r="M1745" s="62"/>
      <c r="N1745" s="62"/>
      <c r="O1745" s="62"/>
      <c r="P1745" s="62"/>
      <c r="Q1745" s="62"/>
    </row>
    <row r="1747" spans="1:21" ht="29.1" customHeight="1" x14ac:dyDescent="0.25">
      <c r="A1747" s="127" t="s">
        <v>996</v>
      </c>
      <c r="B1747" s="77"/>
      <c r="C1747" s="187" t="s">
        <v>41</v>
      </c>
      <c r="D1747" s="187"/>
      <c r="E1747" s="187"/>
      <c r="F1747" s="187"/>
      <c r="G1747" s="187"/>
      <c r="H1747" s="187"/>
      <c r="I1747" s="78" t="s">
        <v>42</v>
      </c>
      <c r="J1747" s="41" t="s">
        <v>43</v>
      </c>
      <c r="K1747" s="41">
        <v>1000</v>
      </c>
      <c r="L1747" s="41">
        <v>2000</v>
      </c>
      <c r="M1747" s="41">
        <v>3000</v>
      </c>
      <c r="N1747" s="41">
        <v>4000</v>
      </c>
      <c r="O1747" s="41">
        <v>5000</v>
      </c>
      <c r="P1747" s="41">
        <v>6000</v>
      </c>
      <c r="Q1747" s="41">
        <v>7000</v>
      </c>
    </row>
    <row r="1748" spans="1:21" ht="15" customHeight="1" x14ac:dyDescent="0.3">
      <c r="A1748" s="42"/>
      <c r="B1748" s="43" t="s">
        <v>976</v>
      </c>
      <c r="C1748" s="44" t="s">
        <v>45</v>
      </c>
      <c r="D1748" s="47">
        <v>1</v>
      </c>
      <c r="E1748" s="46" t="s">
        <v>47</v>
      </c>
      <c r="F1748" s="47">
        <v>1</v>
      </c>
      <c r="G1748" s="46" t="s">
        <v>48</v>
      </c>
      <c r="H1748" s="47">
        <v>0.98</v>
      </c>
      <c r="I1748" s="48">
        <v>4.5</v>
      </c>
      <c r="J1748" s="49">
        <f>ROUND((4493*$T$1),0)*1.05</f>
        <v>4717.6500000000005</v>
      </c>
      <c r="K1748" s="49">
        <f>ROUND((4779*$T$1),0)*1.05</f>
        <v>5017.95</v>
      </c>
      <c r="L1748" s="49">
        <f>ROUND((4856*$T$1),0)*1.05</f>
        <v>5098.8</v>
      </c>
      <c r="M1748" s="49">
        <f>ROUND((4932*$T$1),0)*1.05</f>
        <v>5178.6000000000004</v>
      </c>
      <c r="N1748" s="49">
        <f>ROUND((5011*$T$1),0)*1.05</f>
        <v>5261.55</v>
      </c>
      <c r="O1748" s="49">
        <f>ROUND((5086*$T$1),0)*1.05</f>
        <v>5340.3</v>
      </c>
      <c r="P1748" s="49">
        <f>ROUND((5165*$T$1),0)*1.05</f>
        <v>5423.25</v>
      </c>
      <c r="Q1748" s="49">
        <f>ROUND((5243*$T$1),0)*1.05</f>
        <v>5505.1500000000005</v>
      </c>
      <c r="R1748" s="33"/>
      <c r="S1748" s="33"/>
      <c r="T1748" s="33"/>
      <c r="U1748" s="33"/>
    </row>
    <row r="1749" spans="1:21" ht="15" customHeight="1" x14ac:dyDescent="0.3">
      <c r="A1749" s="42"/>
      <c r="B1749" s="43" t="s">
        <v>977</v>
      </c>
      <c r="C1749" s="44" t="s">
        <v>45</v>
      </c>
      <c r="D1749" s="47">
        <v>1.1000000000000001</v>
      </c>
      <c r="E1749" s="46" t="s">
        <v>47</v>
      </c>
      <c r="F1749" s="47">
        <v>1</v>
      </c>
      <c r="G1749" s="46" t="s">
        <v>48</v>
      </c>
      <c r="H1749" s="47">
        <v>0.98</v>
      </c>
      <c r="I1749" s="48">
        <v>5</v>
      </c>
      <c r="J1749" s="49">
        <f>ROUND((4730*$T$1),0)*1.05</f>
        <v>4966.5</v>
      </c>
      <c r="K1749" s="49">
        <f>ROUND((5031*$T$1),0)*1.05</f>
        <v>5282.55</v>
      </c>
      <c r="L1749" s="49">
        <f>ROUND((5112*$T$1),0)*1.05</f>
        <v>5367.6</v>
      </c>
      <c r="M1749" s="49">
        <f>ROUND((5192*$T$1),0)*1.05</f>
        <v>5451.6</v>
      </c>
      <c r="N1749" s="49">
        <f>ROUND((5274*$T$1),0)*1.05</f>
        <v>5537.7</v>
      </c>
      <c r="O1749" s="49">
        <f>ROUND((5354*$T$1),0)*1.05</f>
        <v>5621.7</v>
      </c>
      <c r="P1749" s="49">
        <f>ROUND((5436*$T$1),0)*1.05</f>
        <v>5707.8</v>
      </c>
      <c r="Q1749" s="49">
        <f>ROUND((5518*$T$1),0)*1.05</f>
        <v>5793.9000000000005</v>
      </c>
      <c r="R1749" s="33"/>
      <c r="S1749" s="33"/>
      <c r="T1749" s="33"/>
      <c r="U1749" s="33"/>
    </row>
    <row r="1750" spans="1:21" ht="15" customHeight="1" x14ac:dyDescent="0.3">
      <c r="A1750" s="42"/>
      <c r="B1750" s="43" t="s">
        <v>978</v>
      </c>
      <c r="C1750" s="44" t="s">
        <v>45</v>
      </c>
      <c r="D1750" s="47">
        <v>1.2</v>
      </c>
      <c r="E1750" s="46" t="s">
        <v>47</v>
      </c>
      <c r="F1750" s="47">
        <v>1</v>
      </c>
      <c r="G1750" s="46" t="s">
        <v>48</v>
      </c>
      <c r="H1750" s="47">
        <v>0.98</v>
      </c>
      <c r="I1750" s="48">
        <v>5.5</v>
      </c>
      <c r="J1750" s="49">
        <f>ROUND((4977*$T$1),0)*1.05</f>
        <v>5225.8500000000004</v>
      </c>
      <c r="K1750" s="49">
        <f>ROUND((5296*$T$1),0)*1.05</f>
        <v>5560.8</v>
      </c>
      <c r="L1750" s="49">
        <f>ROUND((5381*$T$1),0)*1.05</f>
        <v>5650.05</v>
      </c>
      <c r="M1750" s="49">
        <f>ROUND((5466*$T$1),0)*1.05</f>
        <v>5739.3</v>
      </c>
      <c r="N1750" s="49">
        <f>ROUND((5552*$T$1),0)*1.05</f>
        <v>5829.6</v>
      </c>
      <c r="O1750" s="49">
        <f>ROUND((5634*$T$1),0)*1.05</f>
        <v>5915.7</v>
      </c>
      <c r="P1750" s="49">
        <f>ROUND((5724*$T$1),0)*1.05</f>
        <v>6010.2</v>
      </c>
      <c r="Q1750" s="49">
        <f>ROUND((5810*$T$1),0)*1.05</f>
        <v>6100.5</v>
      </c>
      <c r="R1750" s="33"/>
      <c r="S1750" s="33"/>
      <c r="T1750" s="33"/>
      <c r="U1750" s="33"/>
    </row>
    <row r="1751" spans="1:21" ht="15" customHeight="1" x14ac:dyDescent="0.3">
      <c r="A1751" s="42"/>
      <c r="B1751" s="43" t="s">
        <v>979</v>
      </c>
      <c r="C1751" s="44" t="s">
        <v>45</v>
      </c>
      <c r="D1751" s="47">
        <v>1.3</v>
      </c>
      <c r="E1751" s="46" t="s">
        <v>47</v>
      </c>
      <c r="F1751" s="47">
        <v>1</v>
      </c>
      <c r="G1751" s="46" t="s">
        <v>48</v>
      </c>
      <c r="H1751" s="47">
        <v>0.98</v>
      </c>
      <c r="I1751" s="48">
        <v>6.5</v>
      </c>
      <c r="J1751" s="49">
        <f>ROUND((5239*$T$1),0)*1.05</f>
        <v>5500.95</v>
      </c>
      <c r="K1751" s="49">
        <f>ROUND((5574*$T$1),0)*1.05</f>
        <v>5852.7</v>
      </c>
      <c r="L1751" s="49">
        <f>ROUND((5664*$T$1),0)*1.05</f>
        <v>5947.2</v>
      </c>
      <c r="M1751" s="49">
        <f>ROUND((5753*$T$1),0)*1.05</f>
        <v>6040.6500000000005</v>
      </c>
      <c r="N1751" s="49">
        <f>ROUND((5844*$T$1),0)*1.05</f>
        <v>6136.2</v>
      </c>
      <c r="O1751" s="49">
        <f>ROUND((5934*$T$1),0)*1.05</f>
        <v>6230.7</v>
      </c>
      <c r="P1751" s="49">
        <f>ROUND((6128*$T$1),0)*1.05</f>
        <v>6434.4000000000005</v>
      </c>
      <c r="Q1751" s="49">
        <f>ROUND((6116*$T$1),0)*1.05</f>
        <v>6421.8</v>
      </c>
      <c r="R1751" s="33"/>
      <c r="S1751" s="33"/>
      <c r="T1751" s="33"/>
      <c r="U1751" s="33"/>
    </row>
    <row r="1752" spans="1:21" ht="15" customHeight="1" x14ac:dyDescent="0.3">
      <c r="A1752" s="42"/>
      <c r="B1752" s="43" t="s">
        <v>980</v>
      </c>
      <c r="C1752" s="44" t="s">
        <v>45</v>
      </c>
      <c r="D1752" s="47">
        <v>1.4</v>
      </c>
      <c r="E1752" s="46" t="s">
        <v>47</v>
      </c>
      <c r="F1752" s="47">
        <v>1</v>
      </c>
      <c r="G1752" s="46" t="s">
        <v>48</v>
      </c>
      <c r="H1752" s="47">
        <v>0.98</v>
      </c>
      <c r="I1752" s="48">
        <v>7</v>
      </c>
      <c r="J1752" s="49">
        <f>ROUND((5515*$T$1),0)*1.05</f>
        <v>5790.75</v>
      </c>
      <c r="K1752" s="49">
        <f>ROUND((5867*$T$1),0)*1.05</f>
        <v>6160.35</v>
      </c>
      <c r="L1752" s="49">
        <f>ROUND((5963*$T$1),0)*1.05</f>
        <v>6261.1500000000005</v>
      </c>
      <c r="M1752" s="49">
        <f>ROUND((6057*$T$1),0)*1.05</f>
        <v>6359.85</v>
      </c>
      <c r="N1752" s="49">
        <f>ROUND((6151*$T$1),0)*1.05</f>
        <v>6458.55</v>
      </c>
      <c r="O1752" s="49">
        <f>ROUND((6245*$T$1),0)*1.05</f>
        <v>6557.25</v>
      </c>
      <c r="P1752" s="49">
        <f>ROUND((6339*$T$1),0)*1.05</f>
        <v>6655.9500000000007</v>
      </c>
      <c r="Q1752" s="49">
        <f>ROUND((6433*$T$1),0)*1.05</f>
        <v>6754.6500000000005</v>
      </c>
      <c r="R1752" s="33"/>
      <c r="S1752" s="33"/>
      <c r="T1752" s="33"/>
      <c r="U1752" s="33"/>
    </row>
    <row r="1753" spans="1:21" ht="15" customHeight="1" x14ac:dyDescent="0.3">
      <c r="A1753" s="42"/>
      <c r="B1753" s="43"/>
      <c r="C1753" s="44"/>
      <c r="D1753" s="47"/>
      <c r="E1753" s="46"/>
      <c r="F1753" s="47"/>
      <c r="G1753" s="46"/>
      <c r="H1753" s="47"/>
      <c r="I1753" s="48"/>
      <c r="J1753" s="49"/>
      <c r="K1753" s="49"/>
      <c r="L1753" s="49"/>
      <c r="M1753" s="49"/>
      <c r="N1753" s="49"/>
      <c r="O1753" s="49"/>
      <c r="P1753" s="49"/>
      <c r="Q1753" s="49"/>
      <c r="R1753" s="33"/>
      <c r="S1753" s="33"/>
      <c r="T1753" s="33"/>
      <c r="U1753" s="33"/>
    </row>
    <row r="1754" spans="1:21" ht="15" customHeight="1" x14ac:dyDescent="0.3">
      <c r="A1754" s="42"/>
      <c r="B1754" s="43" t="s">
        <v>969</v>
      </c>
      <c r="C1754" s="44" t="s">
        <v>45</v>
      </c>
      <c r="D1754" s="47">
        <v>0.8</v>
      </c>
      <c r="E1754" s="46" t="s">
        <v>47</v>
      </c>
      <c r="F1754" s="47">
        <v>1</v>
      </c>
      <c r="G1754" s="46" t="s">
        <v>48</v>
      </c>
      <c r="H1754" s="47">
        <v>0.98</v>
      </c>
      <c r="I1754" s="48">
        <v>3.5</v>
      </c>
      <c r="J1754" s="49">
        <f>ROUND((4293*$T$1),0)*1.05</f>
        <v>4507.6500000000005</v>
      </c>
      <c r="K1754" s="49">
        <f>ROUND((4710*$T$1),0)*1.05</f>
        <v>4945.5</v>
      </c>
      <c r="L1754" s="49">
        <f>ROUND((4786*$T$1),0)*1.05</f>
        <v>5025.3</v>
      </c>
      <c r="M1754" s="49">
        <f>ROUND((4862*$T$1),0)*1.05</f>
        <v>5105.1000000000004</v>
      </c>
      <c r="N1754" s="49">
        <f>ROUND((4938*$T$1),0)*1.05</f>
        <v>5184.9000000000005</v>
      </c>
      <c r="O1754" s="49">
        <f>ROUND((5017*$T$1),0)*1.05</f>
        <v>5267.85</v>
      </c>
      <c r="P1754" s="49">
        <f>ROUND((5097*$T$1),0)*1.05</f>
        <v>5351.85</v>
      </c>
      <c r="Q1754" s="49">
        <f>ROUND((5176*$T$1),0)*1.05</f>
        <v>5434.8</v>
      </c>
      <c r="R1754" s="33"/>
      <c r="S1754" s="33"/>
      <c r="T1754" s="33"/>
      <c r="U1754" s="33"/>
    </row>
    <row r="1755" spans="1:21" ht="15" customHeight="1" x14ac:dyDescent="0.3">
      <c r="A1755" s="42"/>
      <c r="B1755" s="43" t="s">
        <v>970</v>
      </c>
      <c r="C1755" s="44" t="s">
        <v>45</v>
      </c>
      <c r="D1755" s="47">
        <v>0.9</v>
      </c>
      <c r="E1755" s="46" t="s">
        <v>47</v>
      </c>
      <c r="F1755" s="47">
        <v>1</v>
      </c>
      <c r="G1755" s="46" t="s">
        <v>48</v>
      </c>
      <c r="H1755" s="47">
        <v>0.98</v>
      </c>
      <c r="I1755" s="48">
        <v>4</v>
      </c>
      <c r="J1755" s="49">
        <f>ROUND((4661*$T$1),0)*1.05</f>
        <v>4894.05</v>
      </c>
      <c r="K1755" s="49">
        <f>ROUND((4958*$T$1),0)*1.05</f>
        <v>5205.9000000000005</v>
      </c>
      <c r="L1755" s="49">
        <f>ROUND((5039*$T$1),0)*1.05</f>
        <v>5290.95</v>
      </c>
      <c r="M1755" s="49">
        <f>ROUND((5121*$T$1),0)*1.05</f>
        <v>5377.05</v>
      </c>
      <c r="N1755" s="49">
        <f>ROUND((5203*$T$1),0)*1.05</f>
        <v>5463.1500000000005</v>
      </c>
      <c r="O1755" s="49">
        <f>ROUND((5282*$T$1),0)*1.05</f>
        <v>5546.1</v>
      </c>
      <c r="P1755" s="49">
        <f>ROUND((5364*$T$1),0)*1.05</f>
        <v>5632.2</v>
      </c>
      <c r="Q1755" s="49">
        <f>ROUND((5445*$T$1),0)*1.05</f>
        <v>5717.25</v>
      </c>
      <c r="R1755" s="33"/>
      <c r="S1755" s="33"/>
      <c r="T1755" s="33"/>
      <c r="U1755" s="33"/>
    </row>
    <row r="1756" spans="1:21" ht="15" customHeight="1" x14ac:dyDescent="0.3">
      <c r="A1756" s="42"/>
      <c r="B1756" s="43" t="s">
        <v>971</v>
      </c>
      <c r="C1756" s="44" t="s">
        <v>45</v>
      </c>
      <c r="D1756" s="47">
        <v>1</v>
      </c>
      <c r="E1756" s="46" t="s">
        <v>47</v>
      </c>
      <c r="F1756" s="47">
        <v>1</v>
      </c>
      <c r="G1756" s="46" t="s">
        <v>48</v>
      </c>
      <c r="H1756" s="47">
        <v>0.98</v>
      </c>
      <c r="I1756" s="48">
        <v>4.5</v>
      </c>
      <c r="J1756" s="49">
        <f>ROUND((4906*$T$1),0)*1.05</f>
        <v>5151.3</v>
      </c>
      <c r="K1756" s="49">
        <f>ROUND((5219*$T$1),0)*1.05</f>
        <v>5479.95</v>
      </c>
      <c r="L1756" s="49">
        <f>ROUND((5314*$T$1),0)*1.05</f>
        <v>5579.7</v>
      </c>
      <c r="M1756" s="49">
        <f>ROUND((5389*$T$1),0)*1.05</f>
        <v>5658.45</v>
      </c>
      <c r="N1756" s="49">
        <f>ROUND((5474*$T$1),0)*1.05</f>
        <v>5747.7</v>
      </c>
      <c r="O1756" s="49">
        <f>ROUND((5559*$T$1),0)*1.05</f>
        <v>5836.95</v>
      </c>
      <c r="P1756" s="49">
        <f>ROUND((5644*$T$1),0)*1.05</f>
        <v>5926.2</v>
      </c>
      <c r="Q1756" s="49">
        <f>ROUND((5729*$T$1),0)*1.05</f>
        <v>6015.45</v>
      </c>
      <c r="R1756" s="33"/>
      <c r="S1756" s="33"/>
      <c r="T1756" s="33"/>
      <c r="U1756" s="33"/>
    </row>
    <row r="1757" spans="1:21" ht="15" customHeight="1" x14ac:dyDescent="0.3">
      <c r="A1757" s="42"/>
      <c r="B1757" s="43" t="s">
        <v>972</v>
      </c>
      <c r="C1757" s="44" t="s">
        <v>45</v>
      </c>
      <c r="D1757" s="47">
        <v>1.1000000000000001</v>
      </c>
      <c r="E1757" s="46" t="s">
        <v>47</v>
      </c>
      <c r="F1757" s="47">
        <v>1</v>
      </c>
      <c r="G1757" s="46" t="s">
        <v>48</v>
      </c>
      <c r="H1757" s="47">
        <v>0.98</v>
      </c>
      <c r="I1757" s="48">
        <v>5</v>
      </c>
      <c r="J1757" s="49">
        <f>ROUND((5164*$T$1),0)*1.05</f>
        <v>5422.2</v>
      </c>
      <c r="K1757" s="49">
        <f>ROUND((5492*$T$1),0)*1.05</f>
        <v>5766.6</v>
      </c>
      <c r="L1757" s="49">
        <f>ROUND((5583*$T$1),0)*1.05</f>
        <v>5862.1500000000005</v>
      </c>
      <c r="M1757" s="49">
        <f>ROUND((5674*$T$1),0)*1.05</f>
        <v>5957.7</v>
      </c>
      <c r="N1757" s="49">
        <f>ROUND((5765*$T$1),0)*1.05</f>
        <v>6053.25</v>
      </c>
      <c r="O1757" s="49">
        <f>ROUND((5852*$T$1),0)*1.05</f>
        <v>6144.6</v>
      </c>
      <c r="P1757" s="49">
        <f>ROUND((5943*$T$1),0)*1.05</f>
        <v>6240.1500000000005</v>
      </c>
      <c r="Q1757" s="49">
        <f>ROUND((6034*$T$1),0)*1.05</f>
        <v>6335.7</v>
      </c>
      <c r="R1757" s="33"/>
      <c r="S1757" s="33"/>
      <c r="T1757" s="33"/>
      <c r="U1757" s="33"/>
    </row>
    <row r="1758" spans="1:21" ht="15" customHeight="1" x14ac:dyDescent="0.3">
      <c r="A1758" s="42"/>
      <c r="B1758" s="43" t="s">
        <v>973</v>
      </c>
      <c r="C1758" s="44" t="s">
        <v>45</v>
      </c>
      <c r="D1758" s="47">
        <v>1.2</v>
      </c>
      <c r="E1758" s="46" t="s">
        <v>47</v>
      </c>
      <c r="F1758" s="47">
        <v>1</v>
      </c>
      <c r="G1758" s="46" t="s">
        <v>48</v>
      </c>
      <c r="H1758" s="47">
        <v>0.98</v>
      </c>
      <c r="I1758" s="48">
        <v>5.5</v>
      </c>
      <c r="J1758" s="49">
        <f>ROUND((5435*$T$1),0)*1.05</f>
        <v>5706.75</v>
      </c>
      <c r="K1758" s="49">
        <f>ROUND((5792*$T$1),0)*1.05</f>
        <v>6081.6</v>
      </c>
      <c r="L1758" s="49">
        <f>ROUND((5877*$T$1),0)*1.05</f>
        <v>6170.85</v>
      </c>
      <c r="M1758" s="49">
        <f>ROUND((5971*$T$1),0)*1.05</f>
        <v>6269.55</v>
      </c>
      <c r="N1758" s="49">
        <f>ROUND((6065*$T$1),0)*1.05</f>
        <v>6368.25</v>
      </c>
      <c r="O1758" s="49">
        <f>ROUND((6159*$T$1),0)*1.05</f>
        <v>6466.9500000000007</v>
      </c>
      <c r="P1758" s="49">
        <f>ROUND((6254*$T$1),0)*1.05</f>
        <v>6566.7000000000007</v>
      </c>
      <c r="Q1758" s="49">
        <f>ROUND((6348*$T$1),0)*1.05</f>
        <v>6665.4000000000005</v>
      </c>
      <c r="R1758" s="33"/>
      <c r="S1758" s="33"/>
      <c r="T1758" s="33"/>
      <c r="U1758" s="33"/>
    </row>
    <row r="1759" spans="1:21" ht="15" customHeight="1" x14ac:dyDescent="0.3">
      <c r="A1759" s="42"/>
      <c r="C1759" s="44"/>
      <c r="D1759" s="47"/>
      <c r="E1759" s="46"/>
      <c r="F1759" s="47"/>
      <c r="G1759" s="46"/>
      <c r="H1759" s="47"/>
      <c r="I1759" s="48"/>
      <c r="J1759" s="49"/>
      <c r="K1759" s="49"/>
      <c r="L1759" s="49"/>
      <c r="M1759" s="49"/>
      <c r="N1759" s="49"/>
      <c r="O1759" s="49"/>
      <c r="P1759" s="49"/>
      <c r="Q1759" s="49"/>
    </row>
    <row r="1760" spans="1:21" ht="15" customHeight="1" x14ac:dyDescent="0.3">
      <c r="A1760" s="42"/>
      <c r="B1760" s="162" t="s">
        <v>997</v>
      </c>
      <c r="C1760" s="119"/>
      <c r="D1760" s="86"/>
      <c r="E1760" s="86"/>
      <c r="F1760" s="86"/>
      <c r="G1760" s="86"/>
      <c r="H1760" s="86"/>
      <c r="I1760" s="55"/>
      <c r="J1760" s="56"/>
      <c r="K1760" s="56"/>
      <c r="L1760" s="56"/>
      <c r="M1760" s="87" t="s">
        <v>134</v>
      </c>
      <c r="N1760" s="56"/>
      <c r="O1760" s="56"/>
      <c r="P1760" s="56"/>
      <c r="Q1760" s="56"/>
    </row>
    <row r="1761" spans="1:21" ht="15" customHeight="1" x14ac:dyDescent="0.3">
      <c r="A1761" s="42"/>
      <c r="B1761" s="59" t="s">
        <v>998</v>
      </c>
      <c r="C1761" s="60"/>
      <c r="D1761" s="59"/>
      <c r="E1761" s="59"/>
      <c r="F1761" s="59"/>
      <c r="G1761" s="59"/>
      <c r="H1761" s="59"/>
      <c r="I1761" s="61"/>
      <c r="J1761" s="62"/>
      <c r="K1761" s="62"/>
      <c r="L1761" s="62"/>
      <c r="M1761" s="62"/>
      <c r="N1761" s="62"/>
      <c r="O1761" s="62"/>
      <c r="P1761" s="62"/>
      <c r="Q1761" s="62"/>
    </row>
    <row r="1763" spans="1:21" ht="29.1" customHeight="1" x14ac:dyDescent="0.25">
      <c r="A1763" s="127" t="s">
        <v>999</v>
      </c>
      <c r="B1763" s="77"/>
      <c r="C1763" s="187" t="s">
        <v>41</v>
      </c>
      <c r="D1763" s="187"/>
      <c r="E1763" s="187"/>
      <c r="F1763" s="187"/>
      <c r="G1763" s="187"/>
      <c r="H1763" s="187"/>
      <c r="I1763" s="78" t="s">
        <v>42</v>
      </c>
      <c r="J1763" s="41" t="s">
        <v>43</v>
      </c>
      <c r="K1763" s="41">
        <v>1000</v>
      </c>
      <c r="L1763" s="41">
        <v>2000</v>
      </c>
      <c r="M1763" s="41">
        <v>3000</v>
      </c>
      <c r="N1763" s="41">
        <v>4000</v>
      </c>
      <c r="O1763" s="41">
        <v>5000</v>
      </c>
      <c r="P1763" s="41">
        <v>6000</v>
      </c>
      <c r="Q1763" s="41">
        <v>7000</v>
      </c>
    </row>
    <row r="1764" spans="1:21" ht="15" customHeight="1" x14ac:dyDescent="0.3">
      <c r="A1764" s="42"/>
      <c r="B1764" s="43" t="s">
        <v>976</v>
      </c>
      <c r="C1764" s="44" t="s">
        <v>45</v>
      </c>
      <c r="D1764" s="47">
        <v>1</v>
      </c>
      <c r="E1764" s="46" t="s">
        <v>47</v>
      </c>
      <c r="F1764" s="47">
        <v>1.1499999999999999</v>
      </c>
      <c r="G1764" s="46" t="s">
        <v>48</v>
      </c>
      <c r="H1764" s="47">
        <v>0.98</v>
      </c>
      <c r="I1764" s="48">
        <v>9.5</v>
      </c>
      <c r="J1764" s="49">
        <f>ROUND((2579*$T$1),0)*1.05</f>
        <v>2707.9500000000003</v>
      </c>
      <c r="K1764" s="49">
        <f>ROUND((2744*$T$1),0)*1.05</f>
        <v>2881.2000000000003</v>
      </c>
      <c r="L1764" s="49">
        <f>ROUND((2914*$T$1),0)*1.05</f>
        <v>3059.7000000000003</v>
      </c>
      <c r="M1764" s="49">
        <f>ROUND((3083*$T$1),0)*1.05</f>
        <v>3237.15</v>
      </c>
      <c r="N1764" s="49">
        <f>ROUND((3253*$T$1),0)*1.05</f>
        <v>3415.65</v>
      </c>
      <c r="O1764" s="49">
        <f>ROUND((3422*$T$1),0)*1.05</f>
        <v>3593.1000000000004</v>
      </c>
      <c r="P1764" s="49">
        <f>ROUND((3591*$T$1),0)*1.05</f>
        <v>3770.55</v>
      </c>
      <c r="Q1764" s="49">
        <f>ROUND((3761*$T$1),0)*1.05</f>
        <v>3949.05</v>
      </c>
      <c r="R1764" s="33"/>
      <c r="S1764" s="33"/>
      <c r="T1764" s="33"/>
      <c r="U1764" s="33"/>
    </row>
    <row r="1765" spans="1:21" ht="15" customHeight="1" x14ac:dyDescent="0.3">
      <c r="A1765" s="42"/>
      <c r="B1765" s="43" t="s">
        <v>977</v>
      </c>
      <c r="C1765" s="44" t="s">
        <v>45</v>
      </c>
      <c r="D1765" s="47">
        <v>1.1000000000000001</v>
      </c>
      <c r="E1765" s="46" t="s">
        <v>47</v>
      </c>
      <c r="F1765" s="47">
        <v>1.1499999999999999</v>
      </c>
      <c r="G1765" s="46" t="s">
        <v>48</v>
      </c>
      <c r="H1765" s="47">
        <v>0.98</v>
      </c>
      <c r="I1765" s="48">
        <v>10</v>
      </c>
      <c r="J1765" s="49">
        <f>ROUND((2715*$T$1),0)*1.05</f>
        <v>2850.75</v>
      </c>
      <c r="K1765" s="49">
        <f>ROUND((2888*$T$1),0)*1.05</f>
        <v>3032.4</v>
      </c>
      <c r="L1765" s="49">
        <f>ROUND((3067*$T$1),0)*1.05</f>
        <v>3220.35</v>
      </c>
      <c r="M1765" s="49">
        <f>ROUND((3245*$T$1),0)*1.05</f>
        <v>3407.25</v>
      </c>
      <c r="N1765" s="49">
        <f>ROUND((3424*$T$1),0)*1.05</f>
        <v>3595.2000000000003</v>
      </c>
      <c r="O1765" s="49">
        <f>ROUND((3602*$T$1),0)*1.05</f>
        <v>3782.1000000000004</v>
      </c>
      <c r="P1765" s="49">
        <f>ROUND((3781*$T$1),0)*1.05</f>
        <v>3970.05</v>
      </c>
      <c r="Q1765" s="49">
        <f>ROUND((3960*$T$1),0)*1.05</f>
        <v>4158</v>
      </c>
      <c r="R1765" s="33"/>
      <c r="S1765" s="33"/>
      <c r="T1765" s="33"/>
      <c r="U1765" s="33"/>
    </row>
    <row r="1766" spans="1:21" ht="15" customHeight="1" x14ac:dyDescent="0.3">
      <c r="A1766" s="42"/>
      <c r="B1766" s="43" t="s">
        <v>978</v>
      </c>
      <c r="C1766" s="44" t="s">
        <v>45</v>
      </c>
      <c r="D1766" s="47">
        <v>1.2</v>
      </c>
      <c r="E1766" s="46" t="s">
        <v>47</v>
      </c>
      <c r="F1766" s="47">
        <v>1.1499999999999999</v>
      </c>
      <c r="G1766" s="46" t="s">
        <v>48</v>
      </c>
      <c r="H1766" s="47">
        <v>0.98</v>
      </c>
      <c r="I1766" s="48">
        <v>10.5</v>
      </c>
      <c r="J1766" s="49">
        <f>ROUND((2850*$T$1),0)*1.05</f>
        <v>2992.5</v>
      </c>
      <c r="K1766" s="49">
        <f>ROUND((3032*$T$1),0)*1.05</f>
        <v>3183.6</v>
      </c>
      <c r="L1766" s="49">
        <f>ROUND((3220*$T$1),0)*1.05</f>
        <v>3381</v>
      </c>
      <c r="M1766" s="49">
        <f>ROUND((3407*$T$1),0)*1.05</f>
        <v>3577.3500000000004</v>
      </c>
      <c r="N1766" s="49">
        <f>ROUND((3595*$T$1),0)*1.05</f>
        <v>3774.75</v>
      </c>
      <c r="O1766" s="49">
        <f>ROUND((3782*$T$1),0)*1.05</f>
        <v>3971.1000000000004</v>
      </c>
      <c r="P1766" s="49">
        <f>ROUND((3969*$T$1),0)*1.05</f>
        <v>4167.45</v>
      </c>
      <c r="Q1766" s="49">
        <f>ROUND((4157*$T$1),0)*1.05</f>
        <v>4364.8500000000004</v>
      </c>
      <c r="R1766" s="33"/>
      <c r="S1766" s="33"/>
      <c r="T1766" s="33"/>
      <c r="U1766" s="33"/>
    </row>
    <row r="1767" spans="1:21" ht="15" customHeight="1" x14ac:dyDescent="0.3">
      <c r="A1767" s="42"/>
      <c r="B1767" s="43" t="s">
        <v>979</v>
      </c>
      <c r="C1767" s="44" t="s">
        <v>45</v>
      </c>
      <c r="D1767" s="47">
        <v>1.3</v>
      </c>
      <c r="E1767" s="46" t="s">
        <v>47</v>
      </c>
      <c r="F1767" s="47">
        <v>1.1499999999999999</v>
      </c>
      <c r="G1767" s="46" t="s">
        <v>48</v>
      </c>
      <c r="H1767" s="47">
        <v>0.98</v>
      </c>
      <c r="I1767" s="48">
        <v>11</v>
      </c>
      <c r="J1767" s="49">
        <f>ROUND((2993*$T$1),0)*1.05</f>
        <v>3142.65</v>
      </c>
      <c r="K1767" s="49">
        <f>ROUND((3184*$T$1),0)*1.05</f>
        <v>3343.2000000000003</v>
      </c>
      <c r="L1767" s="49">
        <f>ROUND((3381*$T$1),0)*1.05</f>
        <v>3550.05</v>
      </c>
      <c r="M1767" s="49">
        <f>ROUND((3578*$T$1),0)*1.05</f>
        <v>3756.9</v>
      </c>
      <c r="N1767" s="49">
        <f>ROUND((3775*$T$1),0)*1.05</f>
        <v>3963.75</v>
      </c>
      <c r="O1767" s="49">
        <f>ROUND((3971*$T$1),0)*1.05</f>
        <v>4169.55</v>
      </c>
      <c r="P1767" s="49">
        <f>ROUND((4168*$T$1),0)*1.05</f>
        <v>4376.4000000000005</v>
      </c>
      <c r="Q1767" s="49">
        <f>ROUND((4365*$T$1),0)*1.05</f>
        <v>4583.25</v>
      </c>
      <c r="R1767" s="33"/>
      <c r="S1767" s="33"/>
      <c r="T1767" s="33"/>
      <c r="U1767" s="33"/>
    </row>
    <row r="1768" spans="1:21" ht="15" customHeight="1" x14ac:dyDescent="0.3">
      <c r="A1768" s="42"/>
      <c r="B1768" s="43" t="s">
        <v>980</v>
      </c>
      <c r="C1768" s="44" t="s">
        <v>45</v>
      </c>
      <c r="D1768" s="47">
        <v>1.4</v>
      </c>
      <c r="E1768" s="46" t="s">
        <v>47</v>
      </c>
      <c r="F1768" s="47">
        <v>1.1499999999999999</v>
      </c>
      <c r="G1768" s="46" t="s">
        <v>48</v>
      </c>
      <c r="H1768" s="47">
        <v>0.98</v>
      </c>
      <c r="I1768" s="48">
        <v>11.5</v>
      </c>
      <c r="J1768" s="49">
        <f>ROUND((3143*$T$1),0)*1.05</f>
        <v>3300.15</v>
      </c>
      <c r="K1768" s="49">
        <f>ROUND((3343*$T$1),0)*1.05</f>
        <v>3510.15</v>
      </c>
      <c r="L1768" s="49">
        <f>ROUND((3550*$T$1),0)*1.05</f>
        <v>3727.5</v>
      </c>
      <c r="M1768" s="49">
        <f>ROUND((3756*$T$1),0)*1.05</f>
        <v>3943.8</v>
      </c>
      <c r="N1768" s="49">
        <f>ROUND((3864*$T$1),0)*1.05</f>
        <v>4057.2000000000003</v>
      </c>
      <c r="O1768" s="49">
        <f>ROUND((4170*$T$1),0)*1.05</f>
        <v>4378.5</v>
      </c>
      <c r="P1768" s="49">
        <f>ROUND((4378*$T$1),0)*1.05</f>
        <v>4596.9000000000005</v>
      </c>
      <c r="Q1768" s="49">
        <f>ROUND((4586*$T$1),0)*1.05</f>
        <v>4815.3</v>
      </c>
      <c r="R1768" s="33"/>
      <c r="S1768" s="33"/>
      <c r="T1768" s="33"/>
      <c r="U1768" s="33"/>
    </row>
    <row r="1769" spans="1:21" ht="15" customHeight="1" x14ac:dyDescent="0.3">
      <c r="A1769" s="42"/>
      <c r="B1769" s="43"/>
      <c r="C1769" s="44"/>
      <c r="D1769" s="47"/>
      <c r="E1769" s="46"/>
      <c r="F1769" s="47"/>
      <c r="G1769" s="46"/>
      <c r="H1769" s="47"/>
      <c r="I1769" s="48"/>
      <c r="J1769" s="49"/>
      <c r="K1769" s="49"/>
      <c r="L1769" s="49"/>
      <c r="M1769" s="49"/>
      <c r="N1769" s="49"/>
      <c r="O1769" s="49"/>
      <c r="P1769" s="49"/>
      <c r="Q1769" s="49"/>
      <c r="R1769" s="33"/>
      <c r="S1769" s="33"/>
      <c r="T1769" s="33"/>
      <c r="U1769" s="33"/>
    </row>
    <row r="1770" spans="1:21" ht="15" customHeight="1" x14ac:dyDescent="0.3">
      <c r="A1770" s="42"/>
      <c r="B1770" s="43" t="s">
        <v>969</v>
      </c>
      <c r="C1770" s="44" t="s">
        <v>45</v>
      </c>
      <c r="D1770" s="47">
        <v>0.8</v>
      </c>
      <c r="E1770" s="46" t="s">
        <v>47</v>
      </c>
      <c r="F1770" s="47">
        <v>1.1499999999999999</v>
      </c>
      <c r="G1770" s="46" t="s">
        <v>48</v>
      </c>
      <c r="H1770" s="47">
        <v>0.98</v>
      </c>
      <c r="I1770" s="48">
        <v>8.5</v>
      </c>
      <c r="J1770" s="49">
        <f>ROUND((2379*$T$1),0)*1.05</f>
        <v>2497.9500000000003</v>
      </c>
      <c r="K1770" s="49">
        <f>ROUND((2544*$T$1),0)*1.05</f>
        <v>2671.2000000000003</v>
      </c>
      <c r="L1770" s="49">
        <f>ROUND((2714*$T$1),0)*1.05</f>
        <v>2849.7000000000003</v>
      </c>
      <c r="M1770" s="49">
        <f>ROUND((2883*$T$1),0)*1.05</f>
        <v>3027.15</v>
      </c>
      <c r="N1770" s="49">
        <f>ROUND((3053*$T$1),0)*1.05</f>
        <v>3205.65</v>
      </c>
      <c r="O1770" s="49">
        <f>ROUND((3222*$T$1),0)*1.05</f>
        <v>3383.1000000000004</v>
      </c>
      <c r="P1770" s="49">
        <f>ROUND((3392*$T$1),0)*1.05</f>
        <v>3561.6000000000004</v>
      </c>
      <c r="Q1770" s="49">
        <f>ROUND((3562*$T$1),0)*1.05</f>
        <v>3740.1000000000004</v>
      </c>
      <c r="R1770" s="33"/>
      <c r="S1770" s="33"/>
      <c r="T1770" s="33"/>
      <c r="U1770" s="33"/>
    </row>
    <row r="1771" spans="1:21" ht="15" customHeight="1" x14ac:dyDescent="0.3">
      <c r="A1771" s="42"/>
      <c r="B1771" s="43" t="s">
        <v>970</v>
      </c>
      <c r="C1771" s="44" t="s">
        <v>45</v>
      </c>
      <c r="D1771" s="47">
        <v>0.9</v>
      </c>
      <c r="E1771" s="46" t="s">
        <v>47</v>
      </c>
      <c r="F1771" s="47">
        <v>1.1499999999999999</v>
      </c>
      <c r="G1771" s="46" t="s">
        <v>48</v>
      </c>
      <c r="H1771" s="47">
        <v>0.98</v>
      </c>
      <c r="I1771" s="48">
        <v>9</v>
      </c>
      <c r="J1771" s="49">
        <f>ROUND((2515*$T$1),0)*1.05</f>
        <v>2640.75</v>
      </c>
      <c r="K1771" s="49">
        <f>ROUND((2688*$T$1),0)*1.05</f>
        <v>2822.4</v>
      </c>
      <c r="L1771" s="49">
        <f>ROUND((2827*$T$1),0)*1.05</f>
        <v>2968.35</v>
      </c>
      <c r="M1771" s="49">
        <f>ROUND((3045*$T$1),0)*1.05</f>
        <v>3197.25</v>
      </c>
      <c r="N1771" s="49">
        <f>ROUND((3224*$T$1),0)*1.05</f>
        <v>3385.2000000000003</v>
      </c>
      <c r="O1771" s="49">
        <f>ROUND((3402*$T$1),0)*1.05</f>
        <v>3572.1000000000004</v>
      </c>
      <c r="P1771" s="49">
        <f>ROUND((3581*$T$1),0)*1.05</f>
        <v>3760.05</v>
      </c>
      <c r="Q1771" s="49">
        <f>ROUND((3760*$T$1),0)*1.05</f>
        <v>3948</v>
      </c>
      <c r="R1771" s="33"/>
      <c r="S1771" s="33"/>
      <c r="T1771" s="33"/>
      <c r="U1771" s="33"/>
    </row>
    <row r="1772" spans="1:21" ht="15" customHeight="1" x14ac:dyDescent="0.3">
      <c r="A1772" s="42"/>
      <c r="B1772" s="43" t="s">
        <v>971</v>
      </c>
      <c r="C1772" s="44" t="s">
        <v>45</v>
      </c>
      <c r="D1772" s="47">
        <v>1</v>
      </c>
      <c r="E1772" s="46" t="s">
        <v>47</v>
      </c>
      <c r="F1772" s="47">
        <v>1.1499999999999999</v>
      </c>
      <c r="G1772" s="46" t="s">
        <v>48</v>
      </c>
      <c r="H1772" s="47">
        <v>0.98</v>
      </c>
      <c r="I1772" s="48">
        <v>9.5</v>
      </c>
      <c r="J1772" s="49">
        <f>ROUND((2650*$T$1),0)*1.05</f>
        <v>2782.5</v>
      </c>
      <c r="K1772" s="49">
        <f>ROUND((2832*$T$1),0)*1.05</f>
        <v>2973.6</v>
      </c>
      <c r="L1772" s="49">
        <f>ROUND((3020*$T$1),0)*1.05</f>
        <v>3171</v>
      </c>
      <c r="M1772" s="49">
        <f>ROUND((3207*$T$1),0)*1.05</f>
        <v>3367.3500000000004</v>
      </c>
      <c r="N1772" s="49">
        <f>ROUND((3395*$T$1),0)*1.05</f>
        <v>3564.75</v>
      </c>
      <c r="O1772" s="49">
        <f>ROUND((3582*$T$1),0)*1.05</f>
        <v>3761.1000000000004</v>
      </c>
      <c r="P1772" s="49">
        <f>ROUND((3770*$T$1),0)*1.05</f>
        <v>3958.5</v>
      </c>
      <c r="Q1772" s="49">
        <f>ROUND((3958*$T$1),0)*1.05</f>
        <v>4155.9000000000005</v>
      </c>
      <c r="R1772" s="33"/>
      <c r="S1772" s="33"/>
      <c r="T1772" s="33"/>
      <c r="U1772" s="33"/>
    </row>
    <row r="1773" spans="1:21" ht="15" customHeight="1" x14ac:dyDescent="0.3">
      <c r="A1773" s="42"/>
      <c r="B1773" s="43" t="s">
        <v>972</v>
      </c>
      <c r="C1773" s="44" t="s">
        <v>45</v>
      </c>
      <c r="D1773" s="47">
        <v>1.1000000000000001</v>
      </c>
      <c r="E1773" s="46" t="s">
        <v>47</v>
      </c>
      <c r="F1773" s="47">
        <v>1.1499999999999999</v>
      </c>
      <c r="G1773" s="46" t="s">
        <v>48</v>
      </c>
      <c r="H1773" s="47">
        <v>0.98</v>
      </c>
      <c r="I1773" s="48">
        <v>10</v>
      </c>
      <c r="J1773" s="49">
        <f>ROUND((2793*$T$1),0)*1.05</f>
        <v>2932.65</v>
      </c>
      <c r="K1773" s="49">
        <f>ROUND((2984*$T$1),0)*1.05</f>
        <v>3133.2000000000003</v>
      </c>
      <c r="L1773" s="49">
        <f>ROUND((3181*$T$1),0)*1.05</f>
        <v>3340.05</v>
      </c>
      <c r="M1773" s="49">
        <f>ROUND((3378*$T$1),0)*1.05</f>
        <v>3546.9</v>
      </c>
      <c r="N1773" s="49">
        <f>ROUND((3575*$T$1),0)*1.05</f>
        <v>3753.75</v>
      </c>
      <c r="O1773" s="49">
        <f>ROUND((3771*$T$1),0)*1.05</f>
        <v>3959.55</v>
      </c>
      <c r="P1773" s="49">
        <f>ROUND((3968*$T$1),0)*1.05</f>
        <v>4166.4000000000005</v>
      </c>
      <c r="Q1773" s="49">
        <f>ROUND((3940*$T$1),0)*1.05</f>
        <v>4137</v>
      </c>
      <c r="R1773" s="33"/>
      <c r="S1773" s="33"/>
      <c r="T1773" s="33"/>
      <c r="U1773" s="33"/>
    </row>
    <row r="1774" spans="1:21" ht="15" customHeight="1" x14ac:dyDescent="0.3">
      <c r="A1774" s="42"/>
      <c r="B1774" s="43" t="s">
        <v>973</v>
      </c>
      <c r="C1774" s="44" t="s">
        <v>45</v>
      </c>
      <c r="D1774" s="47">
        <v>1.2</v>
      </c>
      <c r="E1774" s="46" t="s">
        <v>47</v>
      </c>
      <c r="F1774" s="47">
        <v>1.1499999999999999</v>
      </c>
      <c r="G1774" s="46" t="s">
        <v>48</v>
      </c>
      <c r="H1774" s="47">
        <v>0.98</v>
      </c>
      <c r="I1774" s="48">
        <v>10.5</v>
      </c>
      <c r="J1774" s="49">
        <f>ROUND((2943*$T$1),0)*1.05</f>
        <v>3090.15</v>
      </c>
      <c r="K1774" s="49">
        <f>ROUND((3143*$T$1),0)*1.05</f>
        <v>3300.15</v>
      </c>
      <c r="L1774" s="49">
        <f>ROUND((3350*$T$1),0)*1.05</f>
        <v>3517.5</v>
      </c>
      <c r="M1774" s="49">
        <f>ROUND((3556*$T$1),0)*1.05</f>
        <v>3733.8</v>
      </c>
      <c r="N1774" s="49">
        <f>ROUND((3764*$T$1),0)*1.05</f>
        <v>3952.2000000000003</v>
      </c>
      <c r="O1774" s="49">
        <f>ROUND((3970*$T$1),0)*1.05</f>
        <v>4168.5</v>
      </c>
      <c r="P1774" s="49">
        <f>ROUND((4178*$T$1),0)*1.05</f>
        <v>4386.9000000000005</v>
      </c>
      <c r="Q1774" s="49">
        <f>ROUND((4386*$T$1),0)*1.05</f>
        <v>4605.3</v>
      </c>
      <c r="R1774" s="33"/>
      <c r="S1774" s="33"/>
      <c r="T1774" s="33"/>
      <c r="U1774" s="33"/>
    </row>
    <row r="1775" spans="1:21" ht="15" customHeight="1" x14ac:dyDescent="0.3">
      <c r="A1775" s="42"/>
      <c r="C1775" s="44"/>
      <c r="D1775" s="47"/>
      <c r="E1775" s="46"/>
      <c r="F1775" s="47"/>
      <c r="G1775" s="46"/>
      <c r="H1775" s="47"/>
      <c r="I1775" s="48"/>
      <c r="J1775" s="49"/>
      <c r="K1775" s="49"/>
      <c r="L1775" s="49"/>
      <c r="M1775" s="49"/>
      <c r="N1775" s="49"/>
      <c r="O1775" s="49"/>
      <c r="P1775" s="49"/>
      <c r="Q1775" s="49"/>
    </row>
    <row r="1776" spans="1:21" ht="15" customHeight="1" x14ac:dyDescent="0.3">
      <c r="A1776" s="42"/>
      <c r="B1776" s="118" t="s">
        <v>190</v>
      </c>
      <c r="C1776" s="119"/>
      <c r="D1776" s="86"/>
      <c r="E1776" s="86"/>
      <c r="F1776" s="86"/>
      <c r="G1776" s="86"/>
      <c r="H1776" s="86"/>
      <c r="I1776" s="55"/>
      <c r="J1776" s="56"/>
      <c r="K1776" s="56"/>
      <c r="L1776" s="56"/>
      <c r="M1776" s="87" t="s">
        <v>134</v>
      </c>
      <c r="N1776" s="56"/>
      <c r="O1776" s="56"/>
      <c r="P1776" s="56"/>
      <c r="Q1776" s="56"/>
    </row>
    <row r="1777" spans="1:21" ht="15" customHeight="1" x14ac:dyDescent="0.3">
      <c r="A1777" s="42"/>
      <c r="B1777" s="59" t="s">
        <v>1000</v>
      </c>
      <c r="C1777" s="60"/>
      <c r="D1777" s="59"/>
      <c r="E1777" s="59"/>
      <c r="F1777" s="59"/>
      <c r="G1777" s="59"/>
      <c r="H1777" s="59"/>
      <c r="I1777" s="61"/>
      <c r="J1777" s="62"/>
      <c r="K1777" s="62"/>
      <c r="L1777" s="62"/>
      <c r="M1777" s="62"/>
      <c r="N1777" s="62"/>
      <c r="O1777" s="62"/>
      <c r="P1777" s="62"/>
      <c r="Q1777" s="62"/>
    </row>
    <row r="1779" spans="1:21" ht="29.1" customHeight="1" x14ac:dyDescent="0.25">
      <c r="A1779" s="127" t="s">
        <v>1001</v>
      </c>
      <c r="B1779" s="77"/>
      <c r="C1779" s="187" t="s">
        <v>41</v>
      </c>
      <c r="D1779" s="187"/>
      <c r="E1779" s="187"/>
      <c r="F1779" s="187"/>
      <c r="G1779" s="187"/>
      <c r="H1779" s="187"/>
      <c r="I1779" s="78" t="s">
        <v>42</v>
      </c>
      <c r="J1779" s="41" t="s">
        <v>43</v>
      </c>
      <c r="K1779" s="41">
        <v>1000</v>
      </c>
      <c r="L1779" s="41">
        <v>2000</v>
      </c>
      <c r="M1779" s="41">
        <v>3000</v>
      </c>
      <c r="N1779" s="41">
        <v>4000</v>
      </c>
      <c r="O1779" s="41">
        <v>5000</v>
      </c>
      <c r="P1779" s="41">
        <v>6000</v>
      </c>
      <c r="Q1779" s="41">
        <v>7000</v>
      </c>
    </row>
    <row r="1780" spans="1:21" ht="15" customHeight="1" x14ac:dyDescent="0.3">
      <c r="A1780" s="42"/>
      <c r="B1780" s="44" t="s">
        <v>1002</v>
      </c>
      <c r="C1780" s="44" t="s">
        <v>45</v>
      </c>
      <c r="D1780" s="47">
        <v>0.76</v>
      </c>
      <c r="E1780" s="46" t="s">
        <v>47</v>
      </c>
      <c r="F1780" s="47">
        <v>0.48</v>
      </c>
      <c r="G1780" s="46" t="s">
        <v>48</v>
      </c>
      <c r="H1780" s="47">
        <v>0.76</v>
      </c>
      <c r="I1780" s="48">
        <v>4</v>
      </c>
      <c r="J1780" s="49">
        <f>ROUND((2012*$T$1),0)*1.05</f>
        <v>2112.6</v>
      </c>
      <c r="K1780" s="49">
        <f>ROUND((2111*$T$1),0)*1.05</f>
        <v>2216.5500000000002</v>
      </c>
      <c r="L1780" s="49">
        <f>ROUND((2194*$T$1),0)*1.05</f>
        <v>2303.7000000000003</v>
      </c>
      <c r="M1780" s="49">
        <f>ROUND((2279*$T$1),0)*1.05</f>
        <v>2392.9500000000003</v>
      </c>
      <c r="N1780" s="49">
        <f>ROUND((2362*$T$1),0)*1.05</f>
        <v>2480.1</v>
      </c>
      <c r="O1780" s="49">
        <f>ROUND((2447*$T$1),0)*1.05</f>
        <v>2569.35</v>
      </c>
      <c r="P1780" s="49">
        <f>ROUND((2532*$T$1),0)*1.05</f>
        <v>2658.6</v>
      </c>
      <c r="Q1780" s="49">
        <f>ROUND((2617*$T$1),0)*1.05</f>
        <v>2747.85</v>
      </c>
      <c r="R1780" s="33"/>
      <c r="S1780" s="33"/>
      <c r="T1780" s="33"/>
      <c r="U1780" s="33"/>
    </row>
    <row r="1781" spans="1:21" ht="15" customHeight="1" x14ac:dyDescent="0.3">
      <c r="A1781" s="42"/>
      <c r="B1781" s="44"/>
      <c r="C1781" s="44"/>
      <c r="D1781" s="47"/>
      <c r="E1781" s="46"/>
      <c r="F1781" s="47"/>
      <c r="G1781" s="46"/>
      <c r="H1781" s="47"/>
      <c r="I1781" s="48"/>
      <c r="J1781" s="49"/>
      <c r="K1781" s="49"/>
      <c r="L1781" s="49"/>
      <c r="M1781" s="49"/>
      <c r="N1781" s="49"/>
      <c r="O1781" s="49"/>
      <c r="P1781" s="49"/>
      <c r="Q1781" s="49"/>
    </row>
    <row r="1782" spans="1:21" ht="15" customHeight="1" x14ac:dyDescent="0.3">
      <c r="A1782" s="42"/>
      <c r="B1782" s="44"/>
      <c r="C1782" s="44"/>
      <c r="D1782" s="47"/>
      <c r="E1782" s="46"/>
      <c r="F1782" s="47"/>
      <c r="G1782" s="46"/>
      <c r="H1782" s="47"/>
      <c r="I1782" s="48"/>
      <c r="J1782" s="49"/>
      <c r="K1782" s="49"/>
      <c r="L1782" s="49"/>
      <c r="M1782" s="49"/>
      <c r="N1782" s="49"/>
      <c r="O1782" s="49"/>
      <c r="P1782" s="49"/>
      <c r="Q1782" s="49"/>
    </row>
    <row r="1783" spans="1:21" ht="15" customHeight="1" x14ac:dyDescent="0.3">
      <c r="A1783" s="42"/>
      <c r="B1783" s="44"/>
      <c r="C1783" s="44"/>
      <c r="D1783" s="47"/>
      <c r="E1783" s="46"/>
      <c r="F1783" s="47"/>
      <c r="G1783" s="46"/>
      <c r="H1783" s="47"/>
      <c r="I1783" s="48"/>
      <c r="J1783" s="49"/>
      <c r="K1783" s="49"/>
      <c r="L1783" s="49"/>
      <c r="M1783" s="49"/>
      <c r="N1783" s="49"/>
      <c r="O1783" s="49"/>
      <c r="P1783" s="49"/>
      <c r="Q1783" s="49"/>
    </row>
    <row r="1784" spans="1:21" ht="15" customHeight="1" x14ac:dyDescent="0.3">
      <c r="A1784" s="42"/>
      <c r="B1784" s="44"/>
      <c r="C1784" s="44"/>
      <c r="D1784" s="47"/>
      <c r="E1784" s="46"/>
      <c r="F1784" s="47"/>
      <c r="G1784" s="46"/>
      <c r="H1784" s="47"/>
      <c r="I1784" s="48"/>
      <c r="J1784" s="49"/>
      <c r="K1784" s="49"/>
      <c r="L1784" s="49"/>
      <c r="M1784" s="49"/>
      <c r="N1784" s="49"/>
      <c r="O1784" s="49"/>
      <c r="P1784" s="49"/>
      <c r="Q1784" s="49"/>
    </row>
    <row r="1785" spans="1:21" ht="15" customHeight="1" x14ac:dyDescent="0.3">
      <c r="A1785" s="42"/>
      <c r="B1785" s="44"/>
      <c r="C1785" s="44"/>
      <c r="D1785" s="47"/>
      <c r="E1785" s="46"/>
      <c r="F1785" s="47"/>
      <c r="G1785" s="46"/>
      <c r="H1785" s="47"/>
      <c r="I1785" s="57"/>
      <c r="J1785" s="58"/>
      <c r="K1785" s="58"/>
      <c r="L1785" s="58"/>
      <c r="M1785" s="87" t="s">
        <v>134</v>
      </c>
      <c r="N1785" s="58"/>
      <c r="O1785" s="58"/>
      <c r="P1785" s="58"/>
      <c r="Q1785" s="58"/>
    </row>
    <row r="1786" spans="1:21" ht="15" customHeight="1" x14ac:dyDescent="0.3">
      <c r="A1786" s="42"/>
      <c r="B1786" s="59" t="s">
        <v>511</v>
      </c>
      <c r="C1786" s="59"/>
      <c r="D1786" s="59"/>
      <c r="E1786" s="59"/>
      <c r="F1786" s="59"/>
      <c r="G1786" s="59"/>
      <c r="H1786" s="59"/>
      <c r="I1786" s="61"/>
      <c r="J1786" s="62"/>
      <c r="K1786" s="62"/>
      <c r="L1786" s="62"/>
      <c r="M1786" s="62"/>
      <c r="N1786" s="62"/>
      <c r="O1786" s="62"/>
      <c r="P1786" s="62"/>
      <c r="Q1786" s="62"/>
    </row>
    <row r="1788" spans="1:21" ht="29.1" customHeight="1" x14ac:dyDescent="0.25">
      <c r="A1788" s="127" t="s">
        <v>1003</v>
      </c>
      <c r="B1788" s="77"/>
      <c r="C1788" s="187" t="s">
        <v>41</v>
      </c>
      <c r="D1788" s="187"/>
      <c r="E1788" s="187"/>
      <c r="F1788" s="187"/>
      <c r="G1788" s="187"/>
      <c r="H1788" s="187"/>
      <c r="I1788" s="78" t="s">
        <v>42</v>
      </c>
      <c r="J1788" s="41" t="s">
        <v>43</v>
      </c>
      <c r="K1788" s="41">
        <v>1000</v>
      </c>
      <c r="L1788" s="41">
        <v>2000</v>
      </c>
      <c r="M1788" s="41">
        <v>3000</v>
      </c>
      <c r="N1788" s="41">
        <v>4000</v>
      </c>
      <c r="O1788" s="41">
        <v>5000</v>
      </c>
      <c r="P1788" s="41">
        <v>6000</v>
      </c>
      <c r="Q1788" s="41">
        <v>7000</v>
      </c>
    </row>
    <row r="1789" spans="1:21" ht="15" customHeight="1" x14ac:dyDescent="0.3">
      <c r="A1789" s="42"/>
      <c r="B1789" s="44" t="s">
        <v>362</v>
      </c>
      <c r="C1789" s="44" t="s">
        <v>45</v>
      </c>
      <c r="D1789" s="47">
        <v>0.67</v>
      </c>
      <c r="E1789" s="46" t="s">
        <v>47</v>
      </c>
      <c r="F1789" s="47">
        <v>0.75</v>
      </c>
      <c r="G1789" s="46" t="s">
        <v>48</v>
      </c>
      <c r="H1789" s="47">
        <v>0.5</v>
      </c>
      <c r="I1789" s="48">
        <v>3.5</v>
      </c>
      <c r="J1789" s="49">
        <f>ROUND((2495*$T$1),0)*1.05</f>
        <v>2619.75</v>
      </c>
      <c r="K1789" s="49">
        <f>ROUND((2654*$T$1),0)*1.05</f>
        <v>2786.7000000000003</v>
      </c>
      <c r="L1789" s="49">
        <f>ROUND((2699*$T$1),0)*1.05</f>
        <v>2833.9500000000003</v>
      </c>
      <c r="M1789" s="49">
        <f>ROUND((2744*$T$1),0)*1.05</f>
        <v>2881.2000000000003</v>
      </c>
      <c r="N1789" s="49">
        <f>ROUND((2790*$T$1),0)*1.05</f>
        <v>2929.5</v>
      </c>
      <c r="O1789" s="49">
        <f>ROUND((2835*$T$1),0)*1.05</f>
        <v>2976.75</v>
      </c>
      <c r="P1789" s="49">
        <f>ROUND((2880*$T$1),0)*1.05</f>
        <v>3024</v>
      </c>
      <c r="Q1789" s="49">
        <f>ROUND((2925*$T$1),0)*1.05</f>
        <v>3071.25</v>
      </c>
      <c r="R1789" s="33"/>
      <c r="S1789" s="33"/>
      <c r="T1789" s="33"/>
      <c r="U1789" s="33"/>
    </row>
    <row r="1790" spans="1:21" ht="15" customHeight="1" x14ac:dyDescent="0.3">
      <c r="A1790" s="42"/>
      <c r="B1790" s="44"/>
      <c r="C1790" s="44"/>
      <c r="D1790" s="47"/>
      <c r="E1790" s="46"/>
      <c r="F1790" s="47"/>
      <c r="G1790" s="46"/>
      <c r="H1790" s="47"/>
      <c r="I1790" s="48"/>
      <c r="J1790" s="49"/>
      <c r="K1790" s="49"/>
      <c r="L1790" s="49"/>
      <c r="M1790" s="49"/>
      <c r="N1790" s="49"/>
      <c r="O1790" s="49"/>
      <c r="P1790" s="49"/>
      <c r="Q1790" s="49"/>
    </row>
    <row r="1791" spans="1:21" ht="15" customHeight="1" x14ac:dyDescent="0.3">
      <c r="A1791" s="42"/>
      <c r="B1791" s="44"/>
      <c r="C1791" s="44"/>
      <c r="D1791" s="47"/>
      <c r="E1791" s="46"/>
      <c r="F1791" s="47"/>
      <c r="G1791" s="46"/>
      <c r="H1791" s="47"/>
      <c r="I1791" s="48"/>
      <c r="J1791" s="49"/>
      <c r="K1791" s="49"/>
      <c r="L1791" s="49"/>
      <c r="M1791" s="49"/>
      <c r="N1791" s="49"/>
      <c r="O1791" s="49"/>
      <c r="P1791" s="49"/>
      <c r="Q1791" s="49"/>
    </row>
    <row r="1792" spans="1:21" ht="15" customHeight="1" x14ac:dyDescent="0.3">
      <c r="A1792" s="42"/>
      <c r="B1792" s="44"/>
      <c r="C1792" s="44"/>
      <c r="D1792" s="47"/>
      <c r="E1792" s="46"/>
      <c r="F1792" s="47"/>
      <c r="G1792" s="46"/>
      <c r="H1792" s="47"/>
      <c r="I1792" s="48"/>
      <c r="J1792" s="49"/>
      <c r="K1792" s="49"/>
      <c r="L1792" s="49"/>
      <c r="M1792" s="49"/>
      <c r="N1792" s="49"/>
      <c r="O1792" s="49"/>
      <c r="P1792" s="49"/>
      <c r="Q1792" s="49"/>
    </row>
    <row r="1793" spans="1:21" ht="15" customHeight="1" x14ac:dyDescent="0.3">
      <c r="A1793" s="42"/>
      <c r="B1793" s="44"/>
      <c r="C1793" s="44"/>
      <c r="D1793" s="47"/>
      <c r="E1793" s="46"/>
      <c r="F1793" s="47"/>
      <c r="G1793" s="46"/>
      <c r="H1793" s="47"/>
      <c r="I1793" s="48"/>
      <c r="J1793" s="49"/>
      <c r="K1793" s="49"/>
      <c r="L1793" s="49"/>
      <c r="M1793" s="49"/>
      <c r="N1793" s="49"/>
      <c r="O1793" s="49"/>
      <c r="P1793" s="49"/>
      <c r="Q1793" s="49"/>
    </row>
    <row r="1794" spans="1:21" ht="15" customHeight="1" x14ac:dyDescent="0.3">
      <c r="A1794" s="42"/>
      <c r="B1794" s="44"/>
      <c r="C1794" s="44"/>
      <c r="D1794" s="47"/>
      <c r="E1794" s="46"/>
      <c r="F1794" s="47"/>
      <c r="G1794" s="46"/>
      <c r="H1794" s="47"/>
      <c r="I1794" s="57"/>
      <c r="J1794" s="58"/>
      <c r="K1794" s="58"/>
      <c r="L1794" s="58"/>
      <c r="M1794" s="87" t="s">
        <v>134</v>
      </c>
      <c r="N1794" s="58"/>
      <c r="O1794" s="58"/>
      <c r="P1794" s="58"/>
      <c r="Q1794" s="58"/>
    </row>
    <row r="1795" spans="1:21" ht="15" customHeight="1" x14ac:dyDescent="0.3">
      <c r="A1795" s="42"/>
      <c r="B1795" s="59" t="s">
        <v>118</v>
      </c>
      <c r="C1795" s="59"/>
      <c r="D1795" s="59"/>
      <c r="E1795" s="59"/>
      <c r="F1795" s="59"/>
      <c r="G1795" s="59"/>
      <c r="H1795" s="59"/>
      <c r="I1795" s="61"/>
      <c r="J1795" s="62"/>
      <c r="K1795" s="62"/>
      <c r="L1795" s="62"/>
      <c r="M1795" s="62"/>
      <c r="N1795" s="62"/>
      <c r="O1795" s="62"/>
      <c r="P1795" s="62"/>
      <c r="Q1795" s="62"/>
    </row>
    <row r="1797" spans="1:21" ht="29.1" customHeight="1" x14ac:dyDescent="0.25">
      <c r="A1797" s="127" t="s">
        <v>1004</v>
      </c>
      <c r="B1797" s="77"/>
      <c r="C1797" s="187" t="s">
        <v>41</v>
      </c>
      <c r="D1797" s="187"/>
      <c r="E1797" s="187"/>
      <c r="F1797" s="187"/>
      <c r="G1797" s="187"/>
      <c r="H1797" s="187"/>
      <c r="I1797" s="78" t="s">
        <v>42</v>
      </c>
      <c r="J1797" s="41" t="s">
        <v>43</v>
      </c>
      <c r="K1797" s="41">
        <v>1000</v>
      </c>
      <c r="L1797" s="41">
        <v>2000</v>
      </c>
      <c r="M1797" s="41">
        <v>3000</v>
      </c>
      <c r="N1797" s="41">
        <v>4000</v>
      </c>
      <c r="O1797" s="41">
        <v>5000</v>
      </c>
      <c r="P1797" s="41">
        <v>6000</v>
      </c>
      <c r="Q1797" s="41">
        <v>7000</v>
      </c>
    </row>
    <row r="1798" spans="1:21" ht="15" customHeight="1" x14ac:dyDescent="0.3">
      <c r="A1798" s="42"/>
      <c r="B1798" s="44" t="s">
        <v>1005</v>
      </c>
      <c r="C1798" s="44" t="s">
        <v>45</v>
      </c>
      <c r="D1798" s="47">
        <v>1.1499999999999999</v>
      </c>
      <c r="E1798" s="46" t="s">
        <v>47</v>
      </c>
      <c r="F1798" s="47">
        <v>1.05</v>
      </c>
      <c r="G1798" s="46" t="s">
        <v>48</v>
      </c>
      <c r="H1798" s="47">
        <v>0.65</v>
      </c>
      <c r="I1798" s="48">
        <v>8</v>
      </c>
      <c r="J1798" s="49">
        <f>ROUND((2641*$T$1),0)*1.05</f>
        <v>2773.05</v>
      </c>
      <c r="K1798" s="49">
        <f>ROUND((2792*$T$1),0)*1.05</f>
        <v>2931.6</v>
      </c>
      <c r="L1798" s="49">
        <f>ROUND((2951*$T$1),0)*1.05</f>
        <v>3098.55</v>
      </c>
      <c r="M1798" s="49">
        <f>ROUND((3120*$T$1),0)*1.05</f>
        <v>3276</v>
      </c>
      <c r="N1798" s="49">
        <f>ROUND((3300*$T$1),0)*1.05</f>
        <v>3465</v>
      </c>
      <c r="O1798" s="49">
        <f>ROUND((3489*$T$1),0)*1.05</f>
        <v>3663.4500000000003</v>
      </c>
      <c r="P1798" s="49">
        <f>ROUND((3669*$T$1),0)*1.05</f>
        <v>3852.4500000000003</v>
      </c>
      <c r="Q1798" s="49">
        <f>ROUND((3849*$T$1),0)*1.05</f>
        <v>4041.4500000000003</v>
      </c>
      <c r="R1798" s="33"/>
      <c r="S1798" s="33"/>
      <c r="T1798" s="33"/>
      <c r="U1798" s="33"/>
    </row>
    <row r="1799" spans="1:21" ht="15" customHeight="1" x14ac:dyDescent="0.3">
      <c r="A1799" s="42"/>
      <c r="B1799" s="44"/>
      <c r="C1799" s="44"/>
      <c r="D1799" s="47"/>
      <c r="E1799" s="46"/>
      <c r="F1799" s="47"/>
      <c r="G1799" s="46"/>
      <c r="H1799" s="47"/>
      <c r="I1799" s="48"/>
      <c r="J1799" s="49"/>
      <c r="K1799" s="49"/>
      <c r="L1799" s="49"/>
      <c r="M1799" s="49"/>
      <c r="N1799" s="49"/>
      <c r="O1799" s="49"/>
      <c r="P1799" s="49"/>
      <c r="Q1799" s="49"/>
      <c r="R1799" s="33"/>
      <c r="S1799" s="33"/>
      <c r="T1799" s="33"/>
      <c r="U1799" s="33"/>
    </row>
    <row r="1800" spans="1:21" ht="15" customHeight="1" x14ac:dyDescent="0.3">
      <c r="A1800" s="42"/>
      <c r="B1800" s="44" t="s">
        <v>1006</v>
      </c>
      <c r="C1800" s="44" t="s">
        <v>45</v>
      </c>
      <c r="D1800" s="47">
        <v>0.83</v>
      </c>
      <c r="E1800" s="46" t="s">
        <v>47</v>
      </c>
      <c r="F1800" s="47">
        <v>0.76</v>
      </c>
      <c r="G1800" s="46" t="s">
        <v>48</v>
      </c>
      <c r="H1800" s="47">
        <v>0.65</v>
      </c>
      <c r="I1800" s="48">
        <v>6</v>
      </c>
      <c r="J1800" s="49">
        <f>ROUND((1990*$T$1),0)*1.05</f>
        <v>2089.5</v>
      </c>
      <c r="K1800" s="49">
        <f>ROUND((2170*$T$1),0)*1.05</f>
        <v>2278.5</v>
      </c>
      <c r="L1800" s="49">
        <f>ROUND((2350*$T$1),0)*1.05</f>
        <v>2467.5</v>
      </c>
      <c r="M1800" s="49">
        <f>ROUND((2530*$T$1),0)*1.05</f>
        <v>2656.5</v>
      </c>
      <c r="N1800" s="49">
        <f>ROUND((2710*$T$1),0)*1.05</f>
        <v>2845.5</v>
      </c>
      <c r="O1800" s="49">
        <f>ROUND((2890*$T$1),0)*1.05</f>
        <v>3034.5</v>
      </c>
      <c r="P1800" s="49">
        <f>ROUND((3070*$T$1),0)*1.05</f>
        <v>3223.5</v>
      </c>
      <c r="Q1800" s="49">
        <f>ROUND((3250*$T$1),0)*1.05</f>
        <v>3412.5</v>
      </c>
    </row>
    <row r="1801" spans="1:21" ht="15" customHeight="1" x14ac:dyDescent="0.3">
      <c r="A1801" s="42"/>
      <c r="B1801" s="44"/>
      <c r="C1801" s="44"/>
      <c r="D1801" s="47"/>
      <c r="E1801" s="46"/>
      <c r="F1801" s="47"/>
      <c r="G1801" s="46"/>
      <c r="H1801" s="47"/>
      <c r="I1801" s="48"/>
      <c r="J1801" s="49"/>
      <c r="K1801" s="49"/>
      <c r="L1801" s="49"/>
      <c r="M1801" s="49"/>
      <c r="N1801" s="49"/>
      <c r="O1801" s="49"/>
      <c r="P1801" s="49"/>
      <c r="Q1801" s="49"/>
    </row>
    <row r="1802" spans="1:21" ht="15" customHeight="1" x14ac:dyDescent="0.3">
      <c r="A1802" s="42"/>
      <c r="B1802" s="44"/>
      <c r="C1802" s="44"/>
      <c r="D1802" s="47"/>
      <c r="E1802" s="46"/>
      <c r="F1802" s="47"/>
      <c r="G1802" s="46"/>
      <c r="H1802" s="47"/>
      <c r="I1802" s="48"/>
      <c r="J1802" s="49"/>
      <c r="K1802" s="49"/>
      <c r="L1802" s="49"/>
      <c r="M1802" s="49"/>
      <c r="N1802" s="49"/>
      <c r="O1802" s="49"/>
      <c r="P1802" s="49"/>
      <c r="Q1802" s="49"/>
    </row>
    <row r="1803" spans="1:21" ht="15" customHeight="1" x14ac:dyDescent="0.3">
      <c r="A1803" s="42"/>
      <c r="B1803" s="44"/>
      <c r="C1803" s="44"/>
      <c r="D1803" s="47"/>
      <c r="E1803" s="46"/>
      <c r="F1803" s="47"/>
      <c r="G1803" s="46"/>
      <c r="H1803" s="47"/>
      <c r="I1803" s="57"/>
      <c r="J1803" s="58"/>
      <c r="K1803" s="58"/>
      <c r="L1803" s="58"/>
      <c r="M1803" s="87" t="s">
        <v>134</v>
      </c>
      <c r="N1803" s="58"/>
      <c r="O1803" s="58"/>
      <c r="P1803" s="58"/>
      <c r="Q1803" s="58"/>
    </row>
    <row r="1804" spans="1:21" ht="15" customHeight="1" x14ac:dyDescent="0.3">
      <c r="A1804" s="42"/>
      <c r="B1804" s="59" t="s">
        <v>511</v>
      </c>
      <c r="C1804" s="59"/>
      <c r="D1804" s="59"/>
      <c r="E1804" s="59"/>
      <c r="F1804" s="59"/>
      <c r="G1804" s="59"/>
      <c r="H1804" s="59"/>
      <c r="I1804" s="61"/>
      <c r="J1804" s="62"/>
      <c r="K1804" s="62"/>
      <c r="L1804" s="62"/>
      <c r="M1804" s="62"/>
      <c r="N1804" s="62"/>
      <c r="O1804" s="62"/>
      <c r="P1804" s="62"/>
      <c r="Q1804" s="62"/>
    </row>
    <row r="1806" spans="1:21" ht="29.1" customHeight="1" x14ac:dyDescent="0.25">
      <c r="A1806" s="127" t="s">
        <v>1007</v>
      </c>
      <c r="B1806" s="77"/>
      <c r="C1806" s="187" t="s">
        <v>41</v>
      </c>
      <c r="D1806" s="187"/>
      <c r="E1806" s="187"/>
      <c r="F1806" s="187"/>
      <c r="G1806" s="187"/>
      <c r="H1806" s="187"/>
      <c r="I1806" s="78" t="s">
        <v>42</v>
      </c>
      <c r="J1806" s="41" t="s">
        <v>43</v>
      </c>
      <c r="K1806" s="41">
        <v>1000</v>
      </c>
      <c r="L1806" s="41">
        <v>2000</v>
      </c>
      <c r="M1806" s="41">
        <v>3000</v>
      </c>
      <c r="N1806" s="41">
        <v>4000</v>
      </c>
      <c r="O1806" s="41">
        <v>5000</v>
      </c>
      <c r="P1806" s="41">
        <v>6000</v>
      </c>
      <c r="Q1806" s="41">
        <v>7000</v>
      </c>
    </row>
    <row r="1807" spans="1:21" ht="15" customHeight="1" x14ac:dyDescent="0.3">
      <c r="A1807" s="42"/>
      <c r="B1807" s="44" t="s">
        <v>292</v>
      </c>
      <c r="C1807" s="44" t="s">
        <v>45</v>
      </c>
      <c r="D1807" s="47">
        <v>0.77</v>
      </c>
      <c r="E1807" s="46" t="s">
        <v>47</v>
      </c>
      <c r="F1807" s="47">
        <v>0.85</v>
      </c>
      <c r="G1807" s="46" t="s">
        <v>48</v>
      </c>
      <c r="H1807" s="47">
        <v>0.65</v>
      </c>
      <c r="I1807" s="48">
        <v>3</v>
      </c>
      <c r="J1807" s="49">
        <f>ROUND((2477*$T$1),0)*1.05</f>
        <v>2600.85</v>
      </c>
      <c r="K1807" s="49">
        <f>ROUND((2626*$T$1),0)*1.05</f>
        <v>2757.3</v>
      </c>
      <c r="L1807" s="49">
        <f>ROUND((2686*$T$1),0)*1.05</f>
        <v>2820.3</v>
      </c>
      <c r="M1807" s="49">
        <f>ROUND((2747*$T$1),0)*1.05</f>
        <v>2884.35</v>
      </c>
      <c r="N1807" s="49">
        <f>ROUND((2809*$T$1),0)*1.05</f>
        <v>2949.4500000000003</v>
      </c>
      <c r="O1807" s="49">
        <f>ROUND((2869*$T$1),0)*1.05</f>
        <v>3012.4500000000003</v>
      </c>
      <c r="P1807" s="49">
        <f>ROUND((2931*$T$1),0)*1.05</f>
        <v>3077.55</v>
      </c>
      <c r="Q1807" s="49">
        <f>ROUND((2993*$T$1),0)*1.05</f>
        <v>3142.65</v>
      </c>
      <c r="R1807" s="33"/>
      <c r="S1807" s="33"/>
      <c r="T1807" s="33"/>
      <c r="U1807" s="33"/>
    </row>
    <row r="1808" spans="1:21" ht="15" customHeight="1" x14ac:dyDescent="0.3">
      <c r="A1808" s="42"/>
      <c r="B1808" s="44"/>
      <c r="C1808" s="44"/>
      <c r="D1808" s="47"/>
      <c r="E1808" s="46"/>
      <c r="F1808" s="47"/>
      <c r="G1808" s="46"/>
      <c r="H1808" s="47"/>
      <c r="I1808" s="48"/>
      <c r="J1808" s="49"/>
      <c r="K1808" s="49"/>
      <c r="L1808" s="49"/>
      <c r="M1808" s="49"/>
      <c r="N1808" s="49"/>
      <c r="O1808" s="49"/>
      <c r="P1808" s="49"/>
      <c r="Q1808" s="49"/>
    </row>
    <row r="1809" spans="1:21" ht="15" customHeight="1" x14ac:dyDescent="0.3">
      <c r="A1809" s="42"/>
      <c r="B1809" s="44"/>
      <c r="C1809" s="44"/>
      <c r="D1809" s="47"/>
      <c r="E1809" s="46"/>
      <c r="F1809" s="47"/>
      <c r="G1809" s="46"/>
      <c r="H1809" s="47"/>
      <c r="I1809" s="48"/>
      <c r="J1809" s="49"/>
      <c r="K1809" s="49"/>
      <c r="L1809" s="49"/>
      <c r="M1809" s="49"/>
      <c r="N1809" s="49"/>
      <c r="O1809" s="49"/>
      <c r="P1809" s="49"/>
      <c r="Q1809" s="49"/>
    </row>
    <row r="1810" spans="1:21" ht="15" customHeight="1" x14ac:dyDescent="0.3">
      <c r="A1810" s="42"/>
      <c r="B1810" s="44"/>
      <c r="C1810" s="44"/>
      <c r="D1810" s="47"/>
      <c r="E1810" s="46"/>
      <c r="F1810" s="47"/>
      <c r="G1810" s="46"/>
      <c r="H1810" s="47"/>
      <c r="I1810" s="48"/>
      <c r="J1810" s="49"/>
      <c r="K1810" s="49"/>
      <c r="L1810" s="49"/>
      <c r="M1810" s="49"/>
      <c r="N1810" s="49"/>
      <c r="O1810" s="49"/>
      <c r="P1810" s="49"/>
      <c r="Q1810" s="49"/>
    </row>
    <row r="1811" spans="1:21" ht="15" customHeight="1" x14ac:dyDescent="0.3">
      <c r="A1811" s="42"/>
      <c r="B1811" s="44"/>
      <c r="C1811" s="44"/>
      <c r="D1811" s="47"/>
      <c r="E1811" s="46"/>
      <c r="F1811" s="47"/>
      <c r="G1811" s="46"/>
      <c r="H1811" s="47"/>
      <c r="I1811" s="57"/>
      <c r="J1811" s="58"/>
      <c r="K1811" s="58"/>
      <c r="L1811" s="58"/>
      <c r="M1811" s="87" t="s">
        <v>134</v>
      </c>
      <c r="N1811" s="58"/>
      <c r="O1811" s="58"/>
      <c r="P1811" s="58"/>
      <c r="Q1811" s="58"/>
    </row>
    <row r="1812" spans="1:21" ht="15" customHeight="1" x14ac:dyDescent="0.3">
      <c r="A1812" s="42"/>
      <c r="B1812" s="59" t="s">
        <v>511</v>
      </c>
      <c r="C1812" s="59"/>
      <c r="D1812" s="59"/>
      <c r="E1812" s="59"/>
      <c r="F1812" s="59"/>
      <c r="G1812" s="59"/>
      <c r="H1812" s="59"/>
      <c r="I1812" s="61"/>
      <c r="J1812" s="62"/>
      <c r="K1812" s="62"/>
      <c r="L1812" s="62"/>
      <c r="M1812" s="62"/>
      <c r="N1812" s="62"/>
      <c r="O1812" s="62"/>
      <c r="P1812" s="62"/>
      <c r="Q1812" s="62"/>
    </row>
    <row r="1814" spans="1:21" ht="29.1" customHeight="1" x14ac:dyDescent="0.25">
      <c r="A1814" s="127" t="s">
        <v>1008</v>
      </c>
      <c r="B1814" s="77"/>
      <c r="C1814" s="187" t="s">
        <v>41</v>
      </c>
      <c r="D1814" s="187"/>
      <c r="E1814" s="187"/>
      <c r="F1814" s="187"/>
      <c r="G1814" s="187"/>
      <c r="H1814" s="187"/>
      <c r="I1814" s="78" t="s">
        <v>42</v>
      </c>
      <c r="J1814" s="41" t="s">
        <v>43</v>
      </c>
      <c r="K1814" s="41">
        <v>1000</v>
      </c>
      <c r="L1814" s="41">
        <v>2000</v>
      </c>
      <c r="M1814" s="41">
        <v>3000</v>
      </c>
      <c r="N1814" s="41">
        <v>4000</v>
      </c>
      <c r="O1814" s="41">
        <v>5000</v>
      </c>
      <c r="P1814" s="41">
        <v>6000</v>
      </c>
      <c r="Q1814" s="41">
        <v>7000</v>
      </c>
    </row>
    <row r="1815" spans="1:21" ht="15" customHeight="1" x14ac:dyDescent="0.3">
      <c r="A1815" s="42"/>
      <c r="B1815" s="44" t="s">
        <v>292</v>
      </c>
      <c r="C1815" s="44" t="s">
        <v>45</v>
      </c>
      <c r="D1815" s="47">
        <v>0.95</v>
      </c>
      <c r="E1815" s="46" t="s">
        <v>47</v>
      </c>
      <c r="F1815" s="47">
        <v>0.95</v>
      </c>
      <c r="G1815" s="46" t="s">
        <v>48</v>
      </c>
      <c r="H1815" s="47">
        <v>0.65</v>
      </c>
      <c r="I1815" s="49">
        <v>4.5</v>
      </c>
      <c r="J1815" s="49">
        <f>ROUND((1942*$T$1),0)*1.05</f>
        <v>2039.1000000000001</v>
      </c>
      <c r="K1815" s="49">
        <f>ROUND((2066*$T$1),0)*1.05</f>
        <v>2169.3000000000002</v>
      </c>
      <c r="L1815" s="49">
        <f>ROUND((2142*$T$1),0)*1.05</f>
        <v>2249.1</v>
      </c>
      <c r="M1815" s="49">
        <f>ROUND((2217*$T$1),0)*1.05</f>
        <v>2327.85</v>
      </c>
      <c r="N1815" s="49">
        <f>ROUND((2293*$T$1),0)*1.05</f>
        <v>2407.65</v>
      </c>
      <c r="O1815" s="49">
        <f>ROUND((2369*$T$1),0)*1.05</f>
        <v>2487.4500000000003</v>
      </c>
      <c r="P1815" s="49">
        <f>ROUND((2445*$T$1),0)*1.05</f>
        <v>2567.25</v>
      </c>
      <c r="Q1815" s="49">
        <f>ROUND((2521*$T$1),0)*1.05</f>
        <v>2647.05</v>
      </c>
      <c r="R1815" s="33"/>
      <c r="S1815" s="33"/>
      <c r="T1815" s="33"/>
      <c r="U1815" s="33"/>
    </row>
    <row r="1816" spans="1:21" ht="15" customHeight="1" x14ac:dyDescent="0.3">
      <c r="A1816" s="42"/>
      <c r="B1816" s="44"/>
      <c r="C1816" s="44"/>
      <c r="D1816" s="47"/>
      <c r="E1816" s="46"/>
      <c r="F1816" s="47"/>
      <c r="G1816" s="46"/>
      <c r="H1816" s="47"/>
      <c r="I1816" s="48"/>
      <c r="J1816" s="49"/>
      <c r="K1816" s="49"/>
      <c r="L1816" s="49"/>
      <c r="M1816" s="49"/>
      <c r="N1816" s="49"/>
      <c r="O1816" s="49"/>
      <c r="P1816" s="49"/>
      <c r="Q1816" s="49"/>
    </row>
    <row r="1817" spans="1:21" ht="15" customHeight="1" x14ac:dyDescent="0.3">
      <c r="A1817" s="42"/>
      <c r="B1817" s="44"/>
      <c r="C1817" s="44"/>
      <c r="D1817" s="47"/>
      <c r="E1817" s="46"/>
      <c r="F1817" s="47"/>
      <c r="G1817" s="46"/>
      <c r="H1817" s="47"/>
      <c r="I1817" s="48"/>
      <c r="J1817" s="49"/>
      <c r="K1817" s="49"/>
      <c r="L1817" s="49"/>
      <c r="M1817" s="49"/>
      <c r="N1817" s="49"/>
      <c r="O1817" s="49"/>
      <c r="P1817" s="49"/>
      <c r="Q1817" s="49"/>
    </row>
    <row r="1818" spans="1:21" ht="15" customHeight="1" x14ac:dyDescent="0.3">
      <c r="A1818" s="42"/>
      <c r="B1818" s="44"/>
      <c r="C1818" s="44"/>
      <c r="D1818" s="47"/>
      <c r="E1818" s="46"/>
      <c r="F1818" s="47"/>
      <c r="G1818" s="46"/>
      <c r="H1818" s="47"/>
      <c r="I1818" s="48"/>
      <c r="J1818" s="49"/>
      <c r="K1818" s="49"/>
      <c r="L1818" s="49"/>
      <c r="M1818" s="49"/>
      <c r="N1818" s="49"/>
      <c r="O1818" s="49"/>
      <c r="P1818" s="49"/>
      <c r="Q1818" s="49"/>
    </row>
    <row r="1819" spans="1:21" ht="15" customHeight="1" x14ac:dyDescent="0.3">
      <c r="A1819" s="42"/>
      <c r="B1819" s="44"/>
      <c r="C1819" s="44"/>
      <c r="D1819" s="47"/>
      <c r="E1819" s="46"/>
      <c r="F1819" s="47"/>
      <c r="G1819" s="46"/>
      <c r="H1819" s="47"/>
      <c r="I1819" s="48"/>
      <c r="J1819" s="49"/>
      <c r="K1819" s="49"/>
      <c r="L1819" s="49"/>
      <c r="M1819" s="49"/>
      <c r="N1819" s="49"/>
      <c r="O1819" s="49"/>
      <c r="P1819" s="49"/>
      <c r="Q1819" s="49"/>
    </row>
    <row r="1820" spans="1:21" ht="15" customHeight="1" x14ac:dyDescent="0.3">
      <c r="A1820" s="42"/>
      <c r="B1820" s="44"/>
      <c r="C1820" s="44"/>
      <c r="D1820" s="47"/>
      <c r="E1820" s="46"/>
      <c r="F1820" s="47"/>
      <c r="G1820" s="46"/>
      <c r="H1820" s="47"/>
      <c r="I1820" s="57"/>
      <c r="J1820" s="58"/>
      <c r="K1820" s="58"/>
      <c r="L1820" s="58"/>
      <c r="M1820" s="87" t="s">
        <v>134</v>
      </c>
      <c r="N1820" s="58"/>
      <c r="O1820" s="58"/>
      <c r="P1820" s="58"/>
      <c r="Q1820" s="58"/>
    </row>
    <row r="1821" spans="1:21" ht="15" customHeight="1" x14ac:dyDescent="0.3">
      <c r="A1821" s="42"/>
      <c r="B1821" s="59" t="s">
        <v>511</v>
      </c>
      <c r="C1821" s="59"/>
      <c r="D1821" s="59"/>
      <c r="E1821" s="59"/>
      <c r="F1821" s="59"/>
      <c r="G1821" s="59"/>
      <c r="H1821" s="59"/>
      <c r="I1821" s="61"/>
      <c r="J1821" s="62"/>
      <c r="K1821" s="62"/>
      <c r="L1821" s="62"/>
      <c r="M1821" s="62"/>
      <c r="N1821" s="62"/>
      <c r="O1821" s="62"/>
      <c r="P1821" s="62"/>
      <c r="Q1821" s="62"/>
    </row>
    <row r="1823" spans="1:21" ht="29.1" customHeight="1" x14ac:dyDescent="0.25">
      <c r="A1823" s="127" t="s">
        <v>1009</v>
      </c>
      <c r="B1823" s="77"/>
      <c r="C1823" s="187" t="s">
        <v>41</v>
      </c>
      <c r="D1823" s="187"/>
      <c r="E1823" s="187"/>
      <c r="F1823" s="187"/>
      <c r="G1823" s="187"/>
      <c r="H1823" s="187"/>
      <c r="I1823" s="78" t="s">
        <v>42</v>
      </c>
      <c r="J1823" s="41" t="s">
        <v>43</v>
      </c>
      <c r="K1823" s="41">
        <v>1000</v>
      </c>
      <c r="L1823" s="41">
        <v>2000</v>
      </c>
      <c r="M1823" s="41">
        <v>3000</v>
      </c>
      <c r="N1823" s="41">
        <v>4000</v>
      </c>
      <c r="O1823" s="41">
        <v>5000</v>
      </c>
      <c r="P1823" s="41">
        <v>6000</v>
      </c>
      <c r="Q1823" s="41">
        <v>7000</v>
      </c>
    </row>
    <row r="1824" spans="1:21" ht="15" customHeight="1" x14ac:dyDescent="0.3">
      <c r="A1824" s="42"/>
      <c r="B1824" s="44" t="s">
        <v>362</v>
      </c>
      <c r="C1824" s="44" t="s">
        <v>45</v>
      </c>
      <c r="D1824" s="47">
        <v>0.92</v>
      </c>
      <c r="E1824" s="46" t="s">
        <v>47</v>
      </c>
      <c r="F1824" s="47">
        <v>0.9</v>
      </c>
      <c r="G1824" s="46" t="s">
        <v>48</v>
      </c>
      <c r="H1824" s="47">
        <v>0.4</v>
      </c>
      <c r="I1824" s="49">
        <v>4</v>
      </c>
      <c r="J1824" s="49">
        <f>ROUND((2532*$T$1),0)*1.05</f>
        <v>2658.6</v>
      </c>
      <c r="K1824" s="49">
        <f>ROUND((2693*$T$1),0)*1.05</f>
        <v>2827.65</v>
      </c>
      <c r="L1824" s="49">
        <f>ROUND((2760*$T$1),0)*1.05</f>
        <v>2898</v>
      </c>
      <c r="M1824" s="49">
        <f>ROUND((2825*$T$1),0)*1.05</f>
        <v>2966.25</v>
      </c>
      <c r="N1824" s="49">
        <f>ROUND((2892*$T$1),0)*1.05</f>
        <v>3036.6</v>
      </c>
      <c r="O1824" s="49">
        <f>ROUND((2957*$T$1),0)*1.05</f>
        <v>3104.85</v>
      </c>
      <c r="P1824" s="49">
        <f>ROUND((3024*$T$1),0)*1.05</f>
        <v>3175.2000000000003</v>
      </c>
      <c r="Q1824" s="49">
        <f>ROUND((3091*$T$1),0)*1.05</f>
        <v>3245.55</v>
      </c>
      <c r="R1824" s="33"/>
      <c r="S1824" s="33"/>
      <c r="T1824" s="33"/>
      <c r="U1824" s="33"/>
    </row>
    <row r="1825" spans="1:21" ht="15" customHeight="1" x14ac:dyDescent="0.3">
      <c r="A1825" s="42"/>
      <c r="B1825" s="44"/>
      <c r="C1825" s="44"/>
      <c r="D1825" s="47"/>
      <c r="E1825" s="46"/>
      <c r="F1825" s="47"/>
      <c r="G1825" s="46"/>
      <c r="H1825" s="47"/>
      <c r="I1825" s="48"/>
      <c r="J1825" s="49"/>
      <c r="K1825" s="49"/>
      <c r="L1825" s="49"/>
      <c r="M1825" s="49"/>
      <c r="N1825" s="49"/>
      <c r="O1825" s="49"/>
      <c r="P1825" s="49"/>
      <c r="Q1825" s="49"/>
    </row>
    <row r="1826" spans="1:21" ht="15" customHeight="1" x14ac:dyDescent="0.3">
      <c r="A1826" s="42"/>
      <c r="B1826" s="44"/>
      <c r="C1826" s="44"/>
      <c r="D1826" s="47"/>
      <c r="E1826" s="46"/>
      <c r="F1826" s="47"/>
      <c r="G1826" s="46"/>
      <c r="H1826" s="47"/>
      <c r="I1826" s="48"/>
      <c r="J1826" s="49"/>
      <c r="K1826" s="49"/>
      <c r="L1826" s="49"/>
      <c r="M1826" s="49"/>
      <c r="N1826" s="49"/>
      <c r="O1826" s="49"/>
      <c r="P1826" s="49"/>
      <c r="Q1826" s="49"/>
    </row>
    <row r="1827" spans="1:21" ht="15" customHeight="1" x14ac:dyDescent="0.3">
      <c r="A1827" s="42"/>
      <c r="B1827" s="44"/>
      <c r="C1827" s="44"/>
      <c r="D1827" s="47"/>
      <c r="E1827" s="46"/>
      <c r="F1827" s="47"/>
      <c r="G1827" s="46"/>
      <c r="H1827" s="47"/>
      <c r="I1827" s="48"/>
      <c r="J1827" s="49"/>
      <c r="K1827" s="49"/>
      <c r="L1827" s="49"/>
      <c r="M1827" s="49"/>
      <c r="N1827" s="49"/>
      <c r="O1827" s="49"/>
      <c r="P1827" s="49"/>
      <c r="Q1827" s="49"/>
    </row>
    <row r="1828" spans="1:21" ht="15" customHeight="1" x14ac:dyDescent="0.3">
      <c r="A1828" s="42"/>
      <c r="B1828" s="44"/>
      <c r="C1828" s="44"/>
      <c r="D1828" s="47"/>
      <c r="E1828" s="46"/>
      <c r="F1828" s="47"/>
      <c r="G1828" s="46"/>
      <c r="H1828" s="47"/>
      <c r="I1828" s="48"/>
      <c r="J1828" s="49"/>
      <c r="K1828" s="49"/>
      <c r="L1828" s="49"/>
      <c r="M1828" s="49"/>
      <c r="N1828" s="49"/>
      <c r="O1828" s="49"/>
      <c r="P1828" s="49"/>
      <c r="Q1828" s="49"/>
    </row>
    <row r="1829" spans="1:21" ht="15" customHeight="1" x14ac:dyDescent="0.3">
      <c r="A1829" s="42"/>
      <c r="B1829" s="44"/>
      <c r="C1829" s="44"/>
      <c r="D1829" s="47"/>
      <c r="E1829" s="46"/>
      <c r="F1829" s="47"/>
      <c r="G1829" s="46"/>
      <c r="H1829" s="47"/>
      <c r="I1829" s="57"/>
      <c r="J1829" s="58"/>
      <c r="K1829" s="58"/>
      <c r="L1829" s="58"/>
      <c r="M1829" s="87" t="s">
        <v>134</v>
      </c>
      <c r="N1829" s="58"/>
      <c r="O1829" s="58"/>
      <c r="P1829" s="58"/>
      <c r="Q1829" s="58"/>
    </row>
    <row r="1830" spans="1:21" ht="15" customHeight="1" x14ac:dyDescent="0.3">
      <c r="A1830" s="42"/>
      <c r="B1830" s="59" t="s">
        <v>511</v>
      </c>
      <c r="C1830" s="59"/>
      <c r="D1830" s="59"/>
      <c r="E1830" s="59"/>
      <c r="F1830" s="59"/>
      <c r="G1830" s="59"/>
      <c r="H1830" s="59"/>
      <c r="I1830" s="61"/>
      <c r="J1830" s="62"/>
      <c r="K1830" s="62"/>
      <c r="L1830" s="62"/>
      <c r="M1830" s="62"/>
      <c r="N1830" s="62"/>
      <c r="O1830" s="62"/>
      <c r="P1830" s="62"/>
      <c r="Q1830" s="62"/>
    </row>
    <row r="1832" spans="1:21" ht="29.1" customHeight="1" x14ac:dyDescent="0.25">
      <c r="A1832" s="127" t="s">
        <v>1010</v>
      </c>
      <c r="B1832" s="77"/>
      <c r="C1832" s="187" t="s">
        <v>41</v>
      </c>
      <c r="D1832" s="187"/>
      <c r="E1832" s="187"/>
      <c r="F1832" s="187"/>
      <c r="G1832" s="187"/>
      <c r="H1832" s="187"/>
      <c r="I1832" s="78" t="s">
        <v>42</v>
      </c>
      <c r="J1832" s="41" t="s">
        <v>43</v>
      </c>
      <c r="K1832" s="41">
        <v>1000</v>
      </c>
      <c r="L1832" s="41">
        <v>2000</v>
      </c>
      <c r="M1832" s="41">
        <v>3000</v>
      </c>
      <c r="N1832" s="41">
        <v>4000</v>
      </c>
      <c r="O1832" s="41">
        <v>5000</v>
      </c>
      <c r="P1832" s="41">
        <v>6000</v>
      </c>
      <c r="Q1832" s="41">
        <v>7000</v>
      </c>
    </row>
    <row r="1833" spans="1:21" ht="15" customHeight="1" x14ac:dyDescent="0.3">
      <c r="A1833" s="42"/>
      <c r="B1833" s="44" t="s">
        <v>292</v>
      </c>
      <c r="C1833" s="44" t="s">
        <v>45</v>
      </c>
      <c r="D1833" s="47">
        <v>1.02</v>
      </c>
      <c r="E1833" s="46" t="s">
        <v>47</v>
      </c>
      <c r="F1833" s="47">
        <v>1.02</v>
      </c>
      <c r="G1833" s="46" t="s">
        <v>48</v>
      </c>
      <c r="H1833" s="47">
        <v>0.65</v>
      </c>
      <c r="I1833" s="49">
        <v>7</v>
      </c>
      <c r="J1833" s="49">
        <f>ROUND((2426*$T$1),0)*1.05</f>
        <v>2547.3000000000002</v>
      </c>
      <c r="K1833" s="49">
        <f>ROUND((2571*$T$1),0)*1.05</f>
        <v>2699.55</v>
      </c>
      <c r="L1833" s="49">
        <f>ROUND((2670*$T$1),0)*1.05</f>
        <v>2803.5</v>
      </c>
      <c r="M1833" s="49">
        <f>ROUND((2764*$T$1),0)*1.05</f>
        <v>2902.2000000000003</v>
      </c>
      <c r="N1833" s="49">
        <f>ROUND((2861*$T$1),0)*1.05</f>
        <v>3004.05</v>
      </c>
      <c r="O1833" s="49">
        <f>ROUND((2956*$T$1),0)*1.05</f>
        <v>3103.8</v>
      </c>
      <c r="P1833" s="49">
        <f>ROUND((3053*$T$1),0)*1.05</f>
        <v>3205.65</v>
      </c>
      <c r="Q1833" s="49">
        <f>ROUND((3150*$T$1),0)*1.05</f>
        <v>3307.5</v>
      </c>
      <c r="R1833" s="33"/>
      <c r="S1833" s="33"/>
      <c r="T1833" s="33"/>
      <c r="U1833" s="33"/>
    </row>
    <row r="1834" spans="1:21" ht="15" customHeight="1" x14ac:dyDescent="0.3">
      <c r="A1834" s="42"/>
      <c r="B1834" s="44"/>
      <c r="C1834" s="44"/>
      <c r="D1834" s="47"/>
      <c r="E1834" s="46"/>
      <c r="F1834" s="47"/>
      <c r="G1834" s="46"/>
      <c r="H1834" s="47"/>
      <c r="I1834" s="48"/>
      <c r="J1834" s="49"/>
      <c r="K1834" s="49"/>
      <c r="L1834" s="49"/>
      <c r="M1834" s="49"/>
      <c r="N1834" s="49"/>
      <c r="O1834" s="49"/>
      <c r="P1834" s="49"/>
      <c r="Q1834" s="49"/>
    </row>
    <row r="1835" spans="1:21" ht="15" customHeight="1" x14ac:dyDescent="0.3">
      <c r="A1835" s="42"/>
      <c r="B1835" s="44"/>
      <c r="C1835" s="44"/>
      <c r="D1835" s="47"/>
      <c r="E1835" s="46"/>
      <c r="F1835" s="47"/>
      <c r="G1835" s="46"/>
      <c r="H1835" s="47"/>
      <c r="I1835" s="48"/>
      <c r="J1835" s="49"/>
      <c r="K1835" s="49"/>
      <c r="L1835" s="49"/>
      <c r="M1835" s="49"/>
      <c r="N1835" s="49"/>
      <c r="O1835" s="49"/>
      <c r="P1835" s="49"/>
      <c r="Q1835" s="49"/>
    </row>
    <row r="1836" spans="1:21" ht="15" customHeight="1" x14ac:dyDescent="0.3">
      <c r="A1836" s="42"/>
      <c r="B1836" s="44"/>
      <c r="C1836" s="44"/>
      <c r="D1836" s="47"/>
      <c r="E1836" s="46"/>
      <c r="F1836" s="47"/>
      <c r="G1836" s="46"/>
      <c r="H1836" s="47"/>
      <c r="I1836" s="48"/>
      <c r="J1836" s="49"/>
      <c r="K1836" s="49"/>
      <c r="L1836" s="49"/>
      <c r="M1836" s="49"/>
      <c r="N1836" s="49"/>
      <c r="O1836" s="49"/>
      <c r="P1836" s="49"/>
      <c r="Q1836" s="49"/>
    </row>
    <row r="1837" spans="1:21" ht="15" customHeight="1" x14ac:dyDescent="0.3">
      <c r="A1837" s="42"/>
      <c r="B1837" s="44"/>
      <c r="C1837" s="44"/>
      <c r="D1837" s="47"/>
      <c r="E1837" s="46"/>
      <c r="F1837" s="47"/>
      <c r="G1837" s="46"/>
      <c r="H1837" s="47"/>
      <c r="I1837" s="48"/>
      <c r="J1837" s="49"/>
      <c r="K1837" s="49"/>
      <c r="L1837" s="49"/>
      <c r="M1837" s="49"/>
      <c r="N1837" s="49"/>
      <c r="O1837" s="49"/>
      <c r="P1837" s="49"/>
      <c r="Q1837" s="49"/>
    </row>
    <row r="1838" spans="1:21" ht="15" customHeight="1" x14ac:dyDescent="0.3">
      <c r="A1838" s="42"/>
      <c r="B1838" s="44"/>
      <c r="C1838" s="44"/>
      <c r="D1838" s="47"/>
      <c r="E1838" s="46"/>
      <c r="F1838" s="47"/>
      <c r="G1838" s="46"/>
      <c r="H1838" s="47"/>
      <c r="I1838" s="57"/>
      <c r="J1838" s="58"/>
      <c r="K1838" s="58"/>
      <c r="L1838" s="58"/>
      <c r="M1838" s="87" t="s">
        <v>134</v>
      </c>
      <c r="N1838" s="58"/>
      <c r="O1838" s="58"/>
      <c r="P1838" s="58"/>
      <c r="Q1838" s="58"/>
    </row>
    <row r="1839" spans="1:21" ht="15" customHeight="1" x14ac:dyDescent="0.3">
      <c r="A1839" s="42"/>
      <c r="B1839" s="59" t="s">
        <v>511</v>
      </c>
      <c r="C1839" s="59"/>
      <c r="D1839" s="59"/>
      <c r="E1839" s="59"/>
      <c r="F1839" s="59"/>
      <c r="G1839" s="59"/>
      <c r="H1839" s="59"/>
      <c r="I1839" s="61"/>
      <c r="J1839" s="62"/>
      <c r="K1839" s="62"/>
      <c r="L1839" s="62"/>
      <c r="M1839" s="62"/>
      <c r="N1839" s="62"/>
      <c r="O1839" s="62"/>
      <c r="P1839" s="62"/>
      <c r="Q1839" s="62"/>
    </row>
    <row r="1840" spans="1:21" ht="15" customHeight="1" x14ac:dyDescent="0.3">
      <c r="A1840" s="42"/>
      <c r="B1840" s="63"/>
      <c r="C1840" s="63"/>
      <c r="D1840" s="63"/>
      <c r="E1840" s="63"/>
      <c r="F1840" s="63"/>
      <c r="G1840" s="63"/>
      <c r="H1840" s="63"/>
      <c r="I1840" s="48"/>
      <c r="J1840" s="49"/>
      <c r="K1840" s="49"/>
      <c r="L1840" s="49"/>
      <c r="M1840" s="49"/>
      <c r="N1840" s="49"/>
      <c r="O1840" s="49"/>
      <c r="P1840" s="49"/>
      <c r="Q1840" s="49"/>
    </row>
    <row r="1841" spans="1:17" ht="29.1" customHeight="1" x14ac:dyDescent="0.25">
      <c r="A1841" s="127" t="s">
        <v>1011</v>
      </c>
      <c r="B1841" s="77"/>
      <c r="C1841" s="187" t="s">
        <v>41</v>
      </c>
      <c r="D1841" s="187"/>
      <c r="E1841" s="187"/>
      <c r="F1841" s="187"/>
      <c r="G1841" s="187"/>
      <c r="H1841" s="187"/>
      <c r="I1841" s="78" t="s">
        <v>42</v>
      </c>
      <c r="J1841" s="41" t="s">
        <v>43</v>
      </c>
      <c r="K1841" s="41">
        <v>1000</v>
      </c>
      <c r="L1841" s="41">
        <v>2000</v>
      </c>
      <c r="M1841" s="41">
        <v>3000</v>
      </c>
      <c r="N1841" s="41">
        <v>4000</v>
      </c>
      <c r="O1841" s="41">
        <v>5000</v>
      </c>
      <c r="P1841" s="41" t="s">
        <v>1012</v>
      </c>
      <c r="Q1841" s="41"/>
    </row>
    <row r="1842" spans="1:17" ht="15" customHeight="1" x14ac:dyDescent="0.3">
      <c r="A1842" s="42"/>
      <c r="B1842" s="44" t="s">
        <v>362</v>
      </c>
      <c r="C1842" s="44" t="s">
        <v>45</v>
      </c>
      <c r="D1842" s="47">
        <v>1.02</v>
      </c>
      <c r="E1842" s="46" t="s">
        <v>47</v>
      </c>
      <c r="F1842" s="47">
        <v>0.95</v>
      </c>
      <c r="G1842" s="46" t="s">
        <v>48</v>
      </c>
      <c r="H1842" s="47">
        <v>0.6</v>
      </c>
      <c r="I1842" s="49">
        <v>9</v>
      </c>
      <c r="J1842" s="49">
        <f>ROUND((3510*$T$1),0)*1.05</f>
        <v>3685.5</v>
      </c>
      <c r="K1842" s="49">
        <f>ROUND((3720*$T$1),0)*1.05</f>
        <v>3906</v>
      </c>
      <c r="L1842" s="49">
        <f>ROUND((3930*$T$1),0)*1.05</f>
        <v>4126.5</v>
      </c>
      <c r="M1842" s="49">
        <f>ROUND((4250*$T$1),0)*1.05</f>
        <v>4462.5</v>
      </c>
      <c r="N1842" s="49">
        <f>ROUND((4300*$T$1),0)*1.05</f>
        <v>4515</v>
      </c>
      <c r="O1842" s="49">
        <f>ROUND((4690*$T$1),0)*1.05</f>
        <v>4924.5</v>
      </c>
      <c r="P1842" s="49">
        <f>ROUND((5200*$T$1),0)*1.05</f>
        <v>5460</v>
      </c>
      <c r="Q1842" s="49"/>
    </row>
    <row r="1843" spans="1:17" ht="15" customHeight="1" x14ac:dyDescent="0.3">
      <c r="A1843" s="42"/>
      <c r="B1843" s="44"/>
      <c r="C1843" s="44"/>
      <c r="D1843" s="47"/>
      <c r="E1843" s="46"/>
      <c r="F1843" s="47"/>
      <c r="G1843" s="46"/>
      <c r="H1843" s="47"/>
      <c r="I1843" s="48"/>
      <c r="J1843" s="49"/>
      <c r="K1843" s="49"/>
      <c r="L1843" s="49"/>
      <c r="M1843" s="49"/>
      <c r="N1843" s="49"/>
      <c r="O1843" s="49"/>
      <c r="P1843" s="49"/>
      <c r="Q1843" s="49"/>
    </row>
    <row r="1844" spans="1:17" ht="15" customHeight="1" x14ac:dyDescent="0.3">
      <c r="A1844" s="42"/>
      <c r="B1844" s="44"/>
      <c r="C1844" s="44"/>
      <c r="D1844" s="47"/>
      <c r="E1844" s="46"/>
      <c r="F1844" s="47"/>
      <c r="G1844" s="46"/>
      <c r="H1844" s="47"/>
      <c r="I1844" s="48"/>
      <c r="J1844" s="49"/>
      <c r="K1844" s="49"/>
      <c r="L1844" s="49"/>
      <c r="M1844" s="49"/>
      <c r="N1844" s="49"/>
      <c r="O1844" s="49"/>
      <c r="P1844" s="49"/>
      <c r="Q1844" s="49"/>
    </row>
    <row r="1845" spans="1:17" ht="15" customHeight="1" x14ac:dyDescent="0.3">
      <c r="A1845" s="42"/>
      <c r="B1845" s="44"/>
      <c r="C1845" s="44"/>
      <c r="D1845" s="47"/>
      <c r="E1845" s="46"/>
      <c r="F1845" s="47"/>
      <c r="G1845" s="46"/>
      <c r="H1845" s="47"/>
      <c r="I1845" s="48"/>
      <c r="J1845" s="49"/>
      <c r="K1845" s="49"/>
      <c r="L1845" s="49"/>
      <c r="M1845" s="49"/>
      <c r="N1845" s="49"/>
      <c r="O1845" s="49"/>
      <c r="P1845" s="49"/>
      <c r="Q1845" s="49"/>
    </row>
    <row r="1846" spans="1:17" ht="15" customHeight="1" x14ac:dyDescent="0.3">
      <c r="A1846" s="42"/>
      <c r="B1846" s="44"/>
      <c r="C1846" s="44"/>
      <c r="D1846" s="47"/>
      <c r="E1846" s="46"/>
      <c r="F1846" s="47"/>
      <c r="G1846" s="46"/>
      <c r="H1846" s="47"/>
      <c r="I1846" s="48"/>
      <c r="J1846" s="49"/>
      <c r="K1846" s="49"/>
      <c r="L1846" s="49"/>
      <c r="M1846" s="49"/>
      <c r="N1846" s="49"/>
      <c r="O1846" s="49"/>
      <c r="P1846" s="49"/>
      <c r="Q1846" s="49"/>
    </row>
    <row r="1847" spans="1:17" ht="15" customHeight="1" x14ac:dyDescent="0.3">
      <c r="A1847" s="42"/>
      <c r="B1847" s="44"/>
      <c r="C1847" s="44"/>
      <c r="D1847" s="47"/>
      <c r="E1847" s="46"/>
      <c r="F1847" s="47"/>
      <c r="G1847" s="46"/>
      <c r="H1847" s="47"/>
      <c r="I1847" s="57"/>
      <c r="J1847" s="58"/>
      <c r="K1847" s="58"/>
      <c r="L1847" s="58"/>
      <c r="M1847" s="87"/>
      <c r="N1847" s="58"/>
      <c r="O1847" s="58"/>
      <c r="P1847" s="58"/>
      <c r="Q1847" s="58"/>
    </row>
    <row r="1848" spans="1:17" ht="15" customHeight="1" x14ac:dyDescent="0.3">
      <c r="A1848" s="42"/>
      <c r="B1848" s="59" t="s">
        <v>511</v>
      </c>
      <c r="C1848" s="59"/>
      <c r="D1848" s="59"/>
      <c r="E1848" s="59"/>
      <c r="F1848" s="59"/>
      <c r="G1848" s="59"/>
      <c r="H1848" s="59"/>
      <c r="I1848" s="61"/>
      <c r="J1848" s="62"/>
      <c r="K1848" s="62"/>
      <c r="L1848" s="62"/>
      <c r="M1848" s="62"/>
      <c r="N1848" s="62"/>
      <c r="O1848" s="62"/>
      <c r="P1848" s="62"/>
      <c r="Q1848" s="62"/>
    </row>
    <row r="1849" spans="1:17" ht="15" customHeight="1" x14ac:dyDescent="0.3">
      <c r="A1849" s="42"/>
      <c r="B1849" s="63"/>
      <c r="C1849" s="63"/>
      <c r="D1849" s="63"/>
      <c r="E1849" s="63"/>
      <c r="F1849" s="63"/>
      <c r="G1849" s="63"/>
      <c r="H1849" s="63"/>
      <c r="I1849" s="48"/>
      <c r="J1849" s="49"/>
      <c r="K1849" s="49"/>
      <c r="L1849" s="49"/>
      <c r="M1849" s="49"/>
      <c r="N1849" s="49"/>
      <c r="O1849" s="49"/>
      <c r="P1849" s="49"/>
      <c r="Q1849" s="49"/>
    </row>
    <row r="1850" spans="1:17" ht="29.1" customHeight="1" x14ac:dyDescent="0.25">
      <c r="A1850" s="127" t="s">
        <v>1013</v>
      </c>
      <c r="B1850" s="77"/>
      <c r="C1850" s="187" t="s">
        <v>41</v>
      </c>
      <c r="D1850" s="187"/>
      <c r="E1850" s="187"/>
      <c r="F1850" s="187"/>
      <c r="G1850" s="187"/>
      <c r="H1850" s="187"/>
      <c r="I1850" s="78" t="s">
        <v>42</v>
      </c>
      <c r="J1850" s="41" t="s">
        <v>43</v>
      </c>
      <c r="K1850" s="41">
        <v>1000</v>
      </c>
      <c r="L1850" s="41">
        <v>2000</v>
      </c>
      <c r="M1850" s="41">
        <v>3000</v>
      </c>
      <c r="N1850" s="41">
        <v>4000</v>
      </c>
      <c r="O1850" s="41">
        <v>5000</v>
      </c>
      <c r="P1850" s="41" t="s">
        <v>1012</v>
      </c>
      <c r="Q1850" s="41"/>
    </row>
    <row r="1851" spans="1:17" ht="15" customHeight="1" x14ac:dyDescent="0.3">
      <c r="A1851" s="42"/>
      <c r="B1851" s="44" t="s">
        <v>362</v>
      </c>
      <c r="C1851" s="44" t="s">
        <v>45</v>
      </c>
      <c r="D1851" s="47">
        <v>0.76</v>
      </c>
      <c r="E1851" s="46" t="s">
        <v>47</v>
      </c>
      <c r="F1851" s="47">
        <v>0.83</v>
      </c>
      <c r="G1851" s="46" t="s">
        <v>48</v>
      </c>
      <c r="H1851" s="47">
        <v>0.65</v>
      </c>
      <c r="I1851" s="49">
        <v>8</v>
      </c>
      <c r="J1851" s="49">
        <f>ROUND((2450*$T$1),0)*1.05</f>
        <v>2572.5</v>
      </c>
      <c r="K1851" s="49">
        <f>ROUND((2600*$T$1),0)*1.05</f>
        <v>2730</v>
      </c>
      <c r="L1851" s="49">
        <f>ROUND((2710*$T$1),0)*1.05</f>
        <v>2845.5</v>
      </c>
      <c r="M1851" s="49">
        <f>ROUND((2920*$T$1),0)*1.05</f>
        <v>3066</v>
      </c>
      <c r="N1851" s="49">
        <f>ROUND((3050*$T$1),0)*1.05</f>
        <v>3202.5</v>
      </c>
      <c r="O1851" s="49">
        <f>ROUND((3200*$T$1),0)*1.05</f>
        <v>3360</v>
      </c>
      <c r="P1851" s="49">
        <f>ROUND((3600*$T$1),0)*1.05</f>
        <v>3780</v>
      </c>
      <c r="Q1851" s="49"/>
    </row>
    <row r="1852" spans="1:17" ht="15" customHeight="1" x14ac:dyDescent="0.3">
      <c r="A1852" s="42"/>
      <c r="B1852" s="44"/>
      <c r="C1852" s="44"/>
      <c r="D1852" s="47"/>
      <c r="E1852" s="46"/>
      <c r="F1852" s="47"/>
      <c r="G1852" s="46"/>
      <c r="H1852" s="47"/>
      <c r="I1852" s="48"/>
      <c r="J1852" s="49"/>
      <c r="K1852" s="49"/>
      <c r="L1852" s="49"/>
      <c r="M1852" s="49"/>
      <c r="N1852" s="49"/>
      <c r="O1852" s="49"/>
      <c r="P1852" s="49"/>
      <c r="Q1852" s="49"/>
    </row>
    <row r="1853" spans="1:17" ht="15" customHeight="1" x14ac:dyDescent="0.3">
      <c r="A1853" s="42"/>
      <c r="B1853" s="44"/>
      <c r="C1853" s="44"/>
      <c r="D1853" s="47"/>
      <c r="E1853" s="46"/>
      <c r="F1853" s="47"/>
      <c r="G1853" s="46"/>
      <c r="H1853" s="47"/>
      <c r="I1853" s="48"/>
      <c r="J1853" s="49"/>
      <c r="K1853" s="49"/>
      <c r="L1853" s="49"/>
      <c r="M1853" s="49"/>
      <c r="N1853" s="49"/>
      <c r="O1853" s="49"/>
      <c r="P1853" s="49"/>
      <c r="Q1853" s="49"/>
    </row>
    <row r="1854" spans="1:17" ht="15" customHeight="1" x14ac:dyDescent="0.3">
      <c r="A1854" s="42"/>
      <c r="B1854" s="44"/>
      <c r="C1854" s="44"/>
      <c r="D1854" s="47"/>
      <c r="E1854" s="46"/>
      <c r="F1854" s="47"/>
      <c r="G1854" s="46"/>
      <c r="H1854" s="47"/>
      <c r="I1854" s="48"/>
      <c r="J1854" s="49"/>
      <c r="K1854" s="49"/>
      <c r="L1854" s="49"/>
      <c r="M1854" s="49"/>
      <c r="N1854" s="49"/>
      <c r="O1854" s="49"/>
      <c r="P1854" s="49"/>
      <c r="Q1854" s="49"/>
    </row>
    <row r="1855" spans="1:17" ht="15" customHeight="1" x14ac:dyDescent="0.3">
      <c r="B1855" s="44"/>
      <c r="C1855" s="44"/>
      <c r="D1855" s="47"/>
      <c r="E1855" s="46"/>
      <c r="F1855" s="47"/>
      <c r="G1855" s="46"/>
      <c r="H1855" s="47"/>
      <c r="I1855" s="48"/>
      <c r="J1855" s="49"/>
      <c r="K1855" s="49"/>
      <c r="L1855" s="49"/>
      <c r="M1855" s="49"/>
      <c r="N1855" s="49"/>
      <c r="O1855" s="49"/>
      <c r="P1855" s="49"/>
      <c r="Q1855" s="49"/>
    </row>
    <row r="1856" spans="1:17" ht="15" customHeight="1" x14ac:dyDescent="0.3">
      <c r="A1856" s="42"/>
      <c r="B1856" s="44"/>
      <c r="C1856" s="44"/>
      <c r="D1856" s="47"/>
      <c r="E1856" s="46"/>
      <c r="F1856" s="47"/>
      <c r="G1856" s="46"/>
      <c r="H1856" s="47"/>
      <c r="I1856" s="57"/>
      <c r="J1856" s="58"/>
      <c r="K1856" s="58"/>
      <c r="L1856" s="58"/>
      <c r="M1856" s="87"/>
      <c r="N1856" s="58"/>
      <c r="O1856" s="58"/>
      <c r="P1856" s="58"/>
      <c r="Q1856" s="58"/>
    </row>
    <row r="1857" spans="1:21" ht="15" customHeight="1" x14ac:dyDescent="0.3">
      <c r="A1857" s="42"/>
      <c r="B1857" s="59" t="s">
        <v>511</v>
      </c>
      <c r="C1857" s="59"/>
      <c r="D1857" s="59"/>
      <c r="E1857" s="59"/>
      <c r="F1857" s="59"/>
      <c r="G1857" s="59"/>
      <c r="H1857" s="59"/>
      <c r="I1857" s="61"/>
      <c r="J1857" s="62"/>
      <c r="K1857" s="62"/>
      <c r="L1857" s="62"/>
      <c r="M1857" s="62"/>
      <c r="N1857" s="62"/>
      <c r="O1857" s="62"/>
      <c r="P1857" s="62"/>
      <c r="Q1857" s="62"/>
    </row>
    <row r="1858" spans="1:21" ht="15" customHeight="1" x14ac:dyDescent="0.3">
      <c r="A1858" s="42"/>
      <c r="B1858" s="63"/>
      <c r="C1858" s="63"/>
      <c r="D1858" s="63"/>
      <c r="E1858" s="63"/>
      <c r="F1858" s="63"/>
      <c r="G1858" s="63"/>
      <c r="H1858" s="63"/>
      <c r="I1858" s="48"/>
      <c r="J1858" s="49"/>
      <c r="K1858" s="49"/>
      <c r="L1858" s="49"/>
      <c r="M1858" s="49"/>
      <c r="N1858" s="49"/>
      <c r="O1858" s="49"/>
      <c r="P1858" s="49"/>
      <c r="Q1858" s="49"/>
    </row>
    <row r="1859" spans="1:21" ht="29.1" customHeight="1" x14ac:dyDescent="0.25">
      <c r="A1859" s="127" t="s">
        <v>1014</v>
      </c>
      <c r="B1859" s="77"/>
      <c r="C1859" s="187" t="s">
        <v>41</v>
      </c>
      <c r="D1859" s="187"/>
      <c r="E1859" s="187"/>
      <c r="F1859" s="187"/>
      <c r="G1859" s="187"/>
      <c r="H1859" s="187"/>
      <c r="I1859" s="78" t="s">
        <v>42</v>
      </c>
      <c r="J1859" s="41" t="s">
        <v>43</v>
      </c>
      <c r="K1859" s="41">
        <v>1000</v>
      </c>
      <c r="L1859" s="41">
        <v>2000</v>
      </c>
      <c r="M1859" s="41">
        <v>3000</v>
      </c>
      <c r="N1859" s="41">
        <v>4000</v>
      </c>
      <c r="O1859" s="41">
        <v>5000</v>
      </c>
      <c r="P1859" s="41">
        <v>6000</v>
      </c>
      <c r="Q1859" s="41">
        <v>7000</v>
      </c>
    </row>
    <row r="1860" spans="1:21" ht="15" customHeight="1" x14ac:dyDescent="0.3">
      <c r="A1860" s="42"/>
      <c r="B1860" s="44" t="s">
        <v>292</v>
      </c>
      <c r="C1860" s="44" t="s">
        <v>45</v>
      </c>
      <c r="D1860" s="47">
        <v>1</v>
      </c>
      <c r="E1860" s="46" t="s">
        <v>47</v>
      </c>
      <c r="F1860" s="47">
        <v>0.96</v>
      </c>
      <c r="G1860" s="46" t="s">
        <v>48</v>
      </c>
      <c r="H1860" s="47">
        <v>0.8</v>
      </c>
      <c r="I1860" s="49">
        <v>8.5</v>
      </c>
      <c r="J1860" s="49">
        <f>ROUND((2709*$T$1),0)*1.05</f>
        <v>2844.4500000000003</v>
      </c>
      <c r="K1860" s="49">
        <f>ROUND((2873*$T$1),0)*1.05</f>
        <v>3016.65</v>
      </c>
      <c r="L1860" s="49">
        <f>ROUND((3025*$T$1),0)*1.05</f>
        <v>3176.25</v>
      </c>
      <c r="M1860" s="49">
        <f>ROUND((3176*$T$1),0)*1.05</f>
        <v>3334.8</v>
      </c>
      <c r="N1860" s="49">
        <f>ROUND((3328*$T$1),0)*1.05</f>
        <v>3494.4</v>
      </c>
      <c r="O1860" s="49">
        <f>ROUND((3482*$T$1),0)*1.05</f>
        <v>3656.1000000000004</v>
      </c>
      <c r="P1860" s="49">
        <f>ROUND((3634*$T$1),0)*1.05</f>
        <v>3815.7000000000003</v>
      </c>
      <c r="Q1860" s="49">
        <f>ROUND((3786*$T$1),0)*1.05</f>
        <v>3975.3</v>
      </c>
      <c r="R1860" s="33"/>
      <c r="S1860" s="33"/>
      <c r="T1860" s="33"/>
      <c r="U1860" s="33"/>
    </row>
    <row r="1861" spans="1:21" ht="15" customHeight="1" x14ac:dyDescent="0.3">
      <c r="A1861" s="42"/>
      <c r="B1861" s="44"/>
      <c r="C1861" s="44"/>
      <c r="D1861" s="47"/>
      <c r="E1861" s="46"/>
      <c r="F1861" s="47"/>
      <c r="G1861" s="46"/>
      <c r="H1861" s="47"/>
      <c r="I1861" s="48"/>
      <c r="J1861" s="49"/>
      <c r="K1861" s="49"/>
      <c r="L1861" s="49"/>
      <c r="M1861" s="49"/>
      <c r="N1861" s="49"/>
      <c r="O1861" s="49"/>
      <c r="P1861" s="49"/>
      <c r="Q1861" s="49"/>
    </row>
    <row r="1862" spans="1:21" ht="15" customHeight="1" x14ac:dyDescent="0.3">
      <c r="A1862" s="42"/>
      <c r="B1862" s="44"/>
      <c r="C1862" s="44"/>
      <c r="D1862" s="47"/>
      <c r="E1862" s="46"/>
      <c r="F1862" s="47"/>
      <c r="G1862" s="46"/>
      <c r="H1862" s="47"/>
      <c r="I1862" s="48"/>
      <c r="J1862" s="49"/>
      <c r="K1862" s="49"/>
      <c r="L1862" s="49"/>
      <c r="M1862" s="49"/>
      <c r="N1862" s="49"/>
      <c r="O1862" s="49"/>
      <c r="P1862" s="49"/>
      <c r="Q1862" s="49"/>
    </row>
    <row r="1863" spans="1:21" ht="15" customHeight="1" x14ac:dyDescent="0.3">
      <c r="A1863" s="42"/>
      <c r="B1863" s="44"/>
      <c r="C1863" s="44"/>
      <c r="D1863" s="47"/>
      <c r="E1863" s="46"/>
      <c r="F1863" s="47"/>
      <c r="G1863" s="46"/>
      <c r="H1863" s="47"/>
      <c r="I1863" s="48"/>
      <c r="J1863" s="49"/>
      <c r="K1863" s="49"/>
      <c r="L1863" s="49"/>
      <c r="M1863" s="49"/>
      <c r="N1863" s="49"/>
      <c r="O1863" s="49"/>
      <c r="P1863" s="49"/>
      <c r="Q1863" s="49"/>
    </row>
    <row r="1864" spans="1:21" ht="15" customHeight="1" x14ac:dyDescent="0.3">
      <c r="A1864" s="42"/>
      <c r="B1864" s="44"/>
      <c r="C1864" s="44"/>
      <c r="D1864" s="47"/>
      <c r="E1864" s="46"/>
      <c r="F1864" s="47"/>
      <c r="G1864" s="46"/>
      <c r="H1864" s="47"/>
      <c r="I1864" s="48"/>
      <c r="J1864" s="49"/>
      <c r="K1864" s="49"/>
      <c r="L1864" s="49"/>
      <c r="M1864" s="49"/>
      <c r="N1864" s="49"/>
      <c r="O1864" s="49"/>
      <c r="P1864" s="49"/>
      <c r="Q1864" s="49"/>
    </row>
    <row r="1865" spans="1:21" ht="15" customHeight="1" x14ac:dyDescent="0.3">
      <c r="A1865" s="42"/>
      <c r="B1865" s="44"/>
      <c r="C1865" s="44"/>
      <c r="D1865" s="47"/>
      <c r="E1865" s="46"/>
      <c r="F1865" s="47"/>
      <c r="G1865" s="46"/>
      <c r="H1865" s="47"/>
      <c r="I1865" s="57"/>
      <c r="J1865" s="58"/>
      <c r="K1865" s="58"/>
      <c r="L1865" s="58"/>
      <c r="M1865" s="87" t="s">
        <v>134</v>
      </c>
      <c r="N1865" s="58"/>
      <c r="O1865" s="58"/>
      <c r="P1865" s="58"/>
      <c r="Q1865" s="58"/>
    </row>
    <row r="1866" spans="1:21" ht="15" customHeight="1" x14ac:dyDescent="0.3">
      <c r="A1866" s="42"/>
      <c r="B1866" s="59" t="s">
        <v>511</v>
      </c>
      <c r="C1866" s="59"/>
      <c r="D1866" s="59"/>
      <c r="E1866" s="59"/>
      <c r="F1866" s="59"/>
      <c r="G1866" s="59"/>
      <c r="H1866" s="59"/>
      <c r="I1866" s="61"/>
      <c r="J1866" s="62"/>
      <c r="K1866" s="62"/>
      <c r="L1866" s="62"/>
      <c r="M1866" s="62"/>
      <c r="N1866" s="62"/>
      <c r="O1866" s="62"/>
      <c r="P1866" s="62"/>
      <c r="Q1866" s="62"/>
    </row>
    <row r="1867" spans="1:21" ht="15" customHeight="1" x14ac:dyDescent="0.3">
      <c r="A1867" s="42"/>
      <c r="B1867" s="63"/>
      <c r="C1867" s="63"/>
      <c r="D1867" s="63"/>
      <c r="E1867" s="63"/>
      <c r="F1867" s="63"/>
      <c r="G1867" s="63"/>
      <c r="H1867" s="63"/>
      <c r="I1867" s="48"/>
      <c r="J1867" s="49"/>
      <c r="K1867" s="49"/>
      <c r="L1867" s="49"/>
      <c r="M1867" s="49"/>
      <c r="N1867" s="49"/>
      <c r="O1867" s="49"/>
      <c r="P1867" s="49"/>
      <c r="Q1867" s="49"/>
    </row>
    <row r="1868" spans="1:21" ht="29.1" customHeight="1" x14ac:dyDescent="0.25">
      <c r="A1868" s="127" t="s">
        <v>1015</v>
      </c>
      <c r="B1868" s="77"/>
      <c r="C1868" s="187" t="s">
        <v>41</v>
      </c>
      <c r="D1868" s="187"/>
      <c r="E1868" s="187"/>
      <c r="F1868" s="187"/>
      <c r="G1868" s="187"/>
      <c r="H1868" s="187"/>
      <c r="I1868" s="78" t="s">
        <v>42</v>
      </c>
      <c r="J1868" s="41" t="s">
        <v>43</v>
      </c>
      <c r="K1868" s="41">
        <v>1000</v>
      </c>
      <c r="L1868" s="41">
        <v>2000</v>
      </c>
      <c r="M1868" s="41">
        <v>3000</v>
      </c>
      <c r="N1868" s="41">
        <v>4000</v>
      </c>
      <c r="O1868" s="41">
        <v>5000</v>
      </c>
      <c r="P1868" s="41">
        <v>6000</v>
      </c>
      <c r="Q1868" s="41" t="s">
        <v>1012</v>
      </c>
    </row>
    <row r="1869" spans="1:21" ht="15" customHeight="1" x14ac:dyDescent="0.3">
      <c r="A1869" s="42"/>
      <c r="B1869" s="44" t="s">
        <v>292</v>
      </c>
      <c r="C1869" s="44" t="s">
        <v>45</v>
      </c>
      <c r="D1869" s="47">
        <v>0.78</v>
      </c>
      <c r="E1869" s="46" t="s">
        <v>47</v>
      </c>
      <c r="F1869" s="47">
        <v>0.8</v>
      </c>
      <c r="G1869" s="46" t="s">
        <v>48</v>
      </c>
      <c r="H1869" s="47">
        <v>1.07</v>
      </c>
      <c r="I1869" s="49">
        <v>4</v>
      </c>
      <c r="J1869" s="49">
        <f>ROUND((2060*$T$1),0)*1.15</f>
        <v>2369</v>
      </c>
      <c r="K1869" s="49">
        <f>ROUND((2168*$T$1),0)*1.15</f>
        <v>2493.1999999999998</v>
      </c>
      <c r="L1869" s="49">
        <f>ROUND((2259*$T$1),0)*1.15</f>
        <v>2597.85</v>
      </c>
      <c r="M1869" s="49">
        <f>ROUND((2350*$T$1),0)*1.15</f>
        <v>2702.5</v>
      </c>
      <c r="N1869" s="49">
        <f>ROUND((2441*$T$1),0)*1.15</f>
        <v>2807.1499999999996</v>
      </c>
      <c r="O1869" s="49">
        <f>ROUND((2532*$T$1),0)*1.15</f>
        <v>2911.7999999999997</v>
      </c>
      <c r="P1869" s="49">
        <f>ROUND((2660*$T$1),0)*1.15</f>
        <v>3058.9999999999995</v>
      </c>
      <c r="Q1869" s="49">
        <f>ROUND((2990*$T$1),0)*1.15</f>
        <v>3438.4999999999995</v>
      </c>
    </row>
    <row r="1870" spans="1:21" ht="15" customHeight="1" x14ac:dyDescent="0.3">
      <c r="A1870" s="42"/>
      <c r="B1870" s="44"/>
      <c r="C1870" s="44"/>
      <c r="D1870" s="47"/>
      <c r="E1870" s="46"/>
      <c r="F1870" s="47"/>
      <c r="G1870" s="46"/>
      <c r="H1870" s="47"/>
      <c r="I1870" s="48"/>
      <c r="J1870" s="49"/>
      <c r="K1870" s="49"/>
      <c r="L1870" s="49"/>
      <c r="M1870" s="49"/>
      <c r="N1870" s="49"/>
      <c r="O1870" s="49"/>
      <c r="P1870" s="49"/>
      <c r="Q1870" s="49"/>
    </row>
    <row r="1871" spans="1:21" ht="15" customHeight="1" x14ac:dyDescent="0.3">
      <c r="A1871" s="42"/>
      <c r="B1871" s="44"/>
      <c r="C1871" s="44"/>
      <c r="D1871" s="47"/>
      <c r="E1871" s="46"/>
      <c r="F1871" s="47"/>
      <c r="G1871" s="46"/>
      <c r="H1871" s="47"/>
      <c r="I1871" s="48"/>
      <c r="J1871" s="49"/>
      <c r="K1871" s="49"/>
      <c r="L1871" s="49"/>
      <c r="M1871" s="49"/>
      <c r="N1871" s="49"/>
      <c r="O1871" s="49"/>
      <c r="P1871" s="49"/>
      <c r="Q1871" s="49"/>
    </row>
    <row r="1872" spans="1:21" ht="15" customHeight="1" x14ac:dyDescent="0.3">
      <c r="A1872" s="42"/>
      <c r="B1872" s="44"/>
      <c r="C1872" s="44"/>
      <c r="D1872" s="47"/>
      <c r="E1872" s="46"/>
      <c r="F1872" s="47"/>
      <c r="G1872" s="46"/>
      <c r="H1872" s="47"/>
      <c r="I1872" s="48"/>
      <c r="J1872" s="49"/>
      <c r="K1872" s="49"/>
      <c r="L1872" s="49"/>
      <c r="M1872" s="49"/>
      <c r="N1872" s="49"/>
      <c r="O1872" s="49"/>
      <c r="P1872" s="49"/>
      <c r="Q1872" s="49"/>
    </row>
    <row r="1873" spans="1:21" ht="15" customHeight="1" x14ac:dyDescent="0.3">
      <c r="A1873" s="42"/>
      <c r="B1873" s="44"/>
      <c r="C1873" s="44"/>
      <c r="D1873" s="47"/>
      <c r="E1873" s="46"/>
      <c r="F1873" s="47"/>
      <c r="G1873" s="46"/>
      <c r="H1873" s="47"/>
      <c r="I1873" s="48"/>
      <c r="J1873" s="49"/>
      <c r="K1873" s="49"/>
      <c r="L1873" s="49"/>
      <c r="M1873" s="49"/>
      <c r="N1873" s="49"/>
      <c r="O1873" s="49"/>
      <c r="P1873" s="49"/>
      <c r="Q1873" s="49"/>
    </row>
    <row r="1874" spans="1:21" ht="15" customHeight="1" x14ac:dyDescent="0.3">
      <c r="A1874" s="42"/>
      <c r="B1874" s="44"/>
      <c r="C1874" s="44"/>
      <c r="D1874" s="47"/>
      <c r="E1874" s="46"/>
      <c r="F1874" s="47"/>
      <c r="G1874" s="46"/>
      <c r="H1874" s="47"/>
      <c r="I1874" s="57"/>
      <c r="J1874" s="58"/>
      <c r="K1874" s="58"/>
      <c r="L1874" s="58"/>
      <c r="M1874" s="87"/>
      <c r="N1874" s="58"/>
      <c r="O1874" s="58"/>
      <c r="P1874" s="58"/>
      <c r="Q1874" s="58"/>
    </row>
    <row r="1875" spans="1:21" ht="15" customHeight="1" x14ac:dyDescent="0.3">
      <c r="A1875" s="42"/>
      <c r="B1875" s="59"/>
      <c r="C1875" s="59"/>
      <c r="D1875" s="59"/>
      <c r="E1875" s="59"/>
      <c r="F1875" s="59"/>
      <c r="G1875" s="59"/>
      <c r="H1875" s="59"/>
      <c r="I1875" s="61"/>
      <c r="J1875" s="62"/>
      <c r="K1875" s="62"/>
      <c r="L1875" s="62"/>
      <c r="M1875" s="62"/>
      <c r="N1875" s="62"/>
      <c r="O1875" s="62"/>
      <c r="P1875" s="62"/>
      <c r="Q1875" s="62"/>
    </row>
    <row r="1876" spans="1:21" ht="15" customHeight="1" x14ac:dyDescent="0.3">
      <c r="A1876" s="42"/>
      <c r="B1876" s="63"/>
      <c r="C1876" s="63"/>
      <c r="D1876" s="63"/>
      <c r="E1876" s="63"/>
      <c r="F1876" s="63"/>
      <c r="G1876" s="63"/>
      <c r="H1876" s="63"/>
      <c r="I1876" s="48"/>
      <c r="J1876" s="49"/>
      <c r="K1876" s="49"/>
      <c r="L1876" s="49"/>
      <c r="M1876" s="49"/>
      <c r="N1876" s="49"/>
      <c r="O1876" s="49"/>
      <c r="P1876" s="49"/>
      <c r="Q1876" s="49"/>
    </row>
    <row r="1878" spans="1:21" ht="29.1" customHeight="1" x14ac:dyDescent="0.25">
      <c r="A1878" s="127" t="s">
        <v>1016</v>
      </c>
      <c r="B1878" s="77"/>
      <c r="C1878" s="187" t="s">
        <v>41</v>
      </c>
      <c r="D1878" s="187"/>
      <c r="E1878" s="187"/>
      <c r="F1878" s="187"/>
      <c r="G1878" s="187"/>
      <c r="H1878" s="187"/>
      <c r="I1878" s="78" t="s">
        <v>42</v>
      </c>
      <c r="J1878" s="41" t="s">
        <v>43</v>
      </c>
      <c r="K1878" s="41">
        <v>1000</v>
      </c>
      <c r="L1878" s="41">
        <v>2000</v>
      </c>
      <c r="M1878" s="41">
        <v>3000</v>
      </c>
      <c r="N1878" s="41">
        <v>4000</v>
      </c>
      <c r="O1878" s="41">
        <v>5000</v>
      </c>
      <c r="P1878" s="41">
        <v>6000</v>
      </c>
      <c r="Q1878" s="41">
        <v>7000</v>
      </c>
    </row>
    <row r="1879" spans="1:21" ht="15" customHeight="1" x14ac:dyDescent="0.3">
      <c r="A1879" s="42"/>
      <c r="B1879" s="44" t="s">
        <v>950</v>
      </c>
      <c r="C1879" s="44" t="s">
        <v>45</v>
      </c>
      <c r="D1879" s="47">
        <v>0.5</v>
      </c>
      <c r="E1879" s="46" t="s">
        <v>47</v>
      </c>
      <c r="F1879" s="47">
        <v>0.5</v>
      </c>
      <c r="G1879" s="46" t="s">
        <v>48</v>
      </c>
      <c r="H1879" s="47">
        <v>0.45</v>
      </c>
      <c r="I1879" s="49">
        <v>3</v>
      </c>
      <c r="J1879" s="49">
        <f>ROUND((1604*$T$1),0)*1.05</f>
        <v>1684.2</v>
      </c>
      <c r="K1879" s="49">
        <f>ROUND((1706*$T$1),0)*1.05</f>
        <v>1791.3000000000002</v>
      </c>
      <c r="L1879" s="49">
        <f>ROUND((1759*$T$1),0)*1.05</f>
        <v>1846.95</v>
      </c>
      <c r="M1879" s="49">
        <f>ROUND((1813*$T$1),0)*1.05</f>
        <v>1903.65</v>
      </c>
      <c r="N1879" s="49">
        <f>ROUND((1866*$T$1),0)*1.05</f>
        <v>1959.3000000000002</v>
      </c>
      <c r="O1879" s="49">
        <f>ROUND((1920*$T$1),0)*1.05</f>
        <v>2016</v>
      </c>
      <c r="P1879" s="49">
        <f>ROUND((1974*$T$1),0)*1.05</f>
        <v>2072.7000000000003</v>
      </c>
      <c r="Q1879" s="49">
        <f>ROUND((2028*$T$1),0)*1.05</f>
        <v>2129.4</v>
      </c>
      <c r="R1879" s="33"/>
      <c r="S1879" s="33"/>
      <c r="T1879" s="33"/>
      <c r="U1879" s="33"/>
    </row>
    <row r="1880" spans="1:21" ht="15" customHeight="1" x14ac:dyDescent="0.3">
      <c r="A1880" s="42"/>
      <c r="B1880" s="44" t="s">
        <v>1017</v>
      </c>
      <c r="C1880" s="44" t="s">
        <v>45</v>
      </c>
      <c r="D1880" s="47">
        <v>1.6</v>
      </c>
      <c r="E1880" s="46" t="s">
        <v>47</v>
      </c>
      <c r="F1880" s="47">
        <v>0.7</v>
      </c>
      <c r="G1880" s="46" t="s">
        <v>48</v>
      </c>
      <c r="H1880" s="47">
        <v>0.45</v>
      </c>
      <c r="I1880" s="48">
        <v>12</v>
      </c>
      <c r="J1880" s="49">
        <f>ROUND((2535*$T$1),0)*1.05</f>
        <v>2661.75</v>
      </c>
      <c r="K1880" s="49">
        <f>ROUND((2698*$T$1),0)*1.05</f>
        <v>2832.9</v>
      </c>
      <c r="L1880" s="49">
        <f>ROUND((3062*$T$1),0)*1.05</f>
        <v>3215.1</v>
      </c>
      <c r="M1880" s="49">
        <f>ROUND((3432*$T$1),0)*1.05</f>
        <v>3603.6000000000004</v>
      </c>
      <c r="N1880" s="49">
        <f>ROUND((3791*$T$1),0)*1.05</f>
        <v>3980.55</v>
      </c>
      <c r="O1880" s="49">
        <f>ROUND((4155*$T$1),0)*1.05</f>
        <v>4362.75</v>
      </c>
      <c r="P1880" s="49">
        <f>ROUND((4519*$T$1),0)*1.05</f>
        <v>4744.95</v>
      </c>
      <c r="Q1880" s="49">
        <f>ROUND((4883*$T$1),0)*1.05</f>
        <v>5127.1500000000005</v>
      </c>
      <c r="R1880" s="33"/>
      <c r="S1880" s="33"/>
      <c r="T1880" s="33"/>
      <c r="U1880" s="33"/>
    </row>
    <row r="1881" spans="1:21" ht="15" customHeight="1" x14ac:dyDescent="0.3">
      <c r="A1881" s="42"/>
      <c r="B1881" s="44" t="s">
        <v>1018</v>
      </c>
      <c r="C1881" s="44" t="s">
        <v>45</v>
      </c>
      <c r="D1881" s="47">
        <v>1.7</v>
      </c>
      <c r="E1881" s="46" t="s">
        <v>47</v>
      </c>
      <c r="F1881" s="47">
        <v>0.8</v>
      </c>
      <c r="G1881" s="46" t="s">
        <v>48</v>
      </c>
      <c r="H1881" s="47">
        <v>0.45</v>
      </c>
      <c r="I1881" s="48">
        <v>13</v>
      </c>
      <c r="J1881" s="49">
        <f>ROUND((2669*$T$1),0)*1.05</f>
        <v>2802.4500000000003</v>
      </c>
      <c r="K1881" s="49">
        <f>ROUND((2839*$T$1),0)*1.05</f>
        <v>2980.9500000000003</v>
      </c>
      <c r="L1881" s="49">
        <f>ROUND((3223*$T$1),0)*1.05</f>
        <v>3384.15</v>
      </c>
      <c r="M1881" s="49">
        <f>ROUND((3607*$T$1),0)*1.05</f>
        <v>3787.3500000000004</v>
      </c>
      <c r="N1881" s="49">
        <f>ROUND((3990*$T$1),0)*1.05</f>
        <v>4189.5</v>
      </c>
      <c r="O1881" s="49">
        <f>ROUND((4374*$T$1),0)*1.05</f>
        <v>4592.7</v>
      </c>
      <c r="P1881" s="49">
        <f>ROUND((4758*$T$1),0)*1.05</f>
        <v>4995.9000000000005</v>
      </c>
      <c r="Q1881" s="49">
        <f>ROUND((5142*$T$1),0)*1.05</f>
        <v>5399.1</v>
      </c>
      <c r="R1881" s="33"/>
      <c r="S1881" s="33"/>
      <c r="T1881" s="33"/>
      <c r="U1881" s="33"/>
    </row>
    <row r="1882" spans="1:21" ht="15" customHeight="1" x14ac:dyDescent="0.3">
      <c r="A1882" s="42"/>
      <c r="B1882" s="44" t="s">
        <v>907</v>
      </c>
      <c r="C1882" s="44" t="s">
        <v>45</v>
      </c>
      <c r="D1882" s="47">
        <v>1.8</v>
      </c>
      <c r="E1882" s="46" t="s">
        <v>47</v>
      </c>
      <c r="F1882" s="47">
        <v>1</v>
      </c>
      <c r="G1882" s="46" t="s">
        <v>48</v>
      </c>
      <c r="H1882" s="47">
        <v>0.45</v>
      </c>
      <c r="I1882" s="48">
        <v>15</v>
      </c>
      <c r="J1882" s="49">
        <f>ROUND((2810*$T$1),0)*1.05</f>
        <v>2950.5</v>
      </c>
      <c r="K1882" s="49">
        <f>ROUND((2989*$T$1),0)*1.05</f>
        <v>3138.4500000000003</v>
      </c>
      <c r="L1882" s="49">
        <f>ROUND((3393*$T$1),0)*1.05</f>
        <v>3562.65</v>
      </c>
      <c r="M1882" s="49">
        <f>ROUND((3796*$T$1),0)*1.05</f>
        <v>3985.8</v>
      </c>
      <c r="N1882" s="49">
        <f>ROUND((4201*$T$1),0)*1.05</f>
        <v>4411.05</v>
      </c>
      <c r="O1882" s="49">
        <f>ROUND((4604*$T$1),0)*1.05</f>
        <v>4834.2</v>
      </c>
      <c r="P1882" s="49">
        <f>ROUND((5007*$T$1),0)*1.05</f>
        <v>5257.35</v>
      </c>
      <c r="Q1882" s="49">
        <f>ROUND((5410*$T$1),0)*1.05</f>
        <v>5680.5</v>
      </c>
      <c r="R1882" s="33"/>
      <c r="S1882" s="33"/>
      <c r="T1882" s="33"/>
      <c r="U1882" s="33"/>
    </row>
    <row r="1883" spans="1:21" ht="15" customHeight="1" x14ac:dyDescent="0.3">
      <c r="B1883" s="44" t="s">
        <v>906</v>
      </c>
      <c r="C1883" s="44" t="s">
        <v>45</v>
      </c>
      <c r="D1883" s="47">
        <v>1.9</v>
      </c>
      <c r="E1883" s="46" t="s">
        <v>47</v>
      </c>
      <c r="F1883" s="47">
        <v>0.8</v>
      </c>
      <c r="G1883" s="46" t="s">
        <v>48</v>
      </c>
      <c r="H1883" s="47">
        <v>0.45</v>
      </c>
      <c r="I1883" s="48">
        <v>16</v>
      </c>
      <c r="J1883" s="49">
        <f>ROUND((2957*$T$1),0)*1.05</f>
        <v>3104.85</v>
      </c>
      <c r="K1883" s="49">
        <f>ROUND((3146*$T$1),0)*1.05</f>
        <v>3303.3</v>
      </c>
      <c r="L1883" s="49">
        <f>ROUND((3571*$T$1),0)*1.05</f>
        <v>3749.55</v>
      </c>
      <c r="M1883" s="49">
        <f>ROUND((3996*$T$1),0)*1.05</f>
        <v>4195.8</v>
      </c>
      <c r="N1883" s="49">
        <f>ROUND((4421*$T$1),0)*1.05</f>
        <v>4642.05</v>
      </c>
      <c r="O1883" s="49">
        <f>ROUND((4846*$T$1),0)*1.05</f>
        <v>5088.3</v>
      </c>
      <c r="P1883" s="49">
        <f>ROUND((5271*$T$1),0)*1.05</f>
        <v>5534.55</v>
      </c>
      <c r="Q1883" s="49">
        <f>ROUND((5696*$T$1),0)*1.05</f>
        <v>5980.8</v>
      </c>
      <c r="R1883" s="33"/>
      <c r="S1883" s="33"/>
      <c r="T1883" s="33"/>
      <c r="U1883" s="33"/>
    </row>
    <row r="1884" spans="1:21" ht="15" customHeight="1" x14ac:dyDescent="0.3">
      <c r="A1884" s="42"/>
      <c r="B1884" s="44" t="s">
        <v>763</v>
      </c>
      <c r="C1884" s="44" t="s">
        <v>45</v>
      </c>
      <c r="D1884" s="47">
        <v>2</v>
      </c>
      <c r="E1884" s="46" t="s">
        <v>47</v>
      </c>
      <c r="F1884" s="47">
        <v>1</v>
      </c>
      <c r="G1884" s="46" t="s">
        <v>48</v>
      </c>
      <c r="H1884" s="47">
        <v>0.45</v>
      </c>
      <c r="I1884" s="48">
        <v>18</v>
      </c>
      <c r="J1884" s="49">
        <f>ROUND((3113*$T$1),0)*1.05</f>
        <v>3268.65</v>
      </c>
      <c r="K1884" s="49">
        <f>ROUND((3311*$T$1),0)*1.05</f>
        <v>3476.55</v>
      </c>
      <c r="L1884" s="49">
        <f>ROUND((3759*$T$1),0)*1.05</f>
        <v>3946.9500000000003</v>
      </c>
      <c r="M1884" s="49">
        <f>ROUND((4206*$T$1),0)*1.05</f>
        <v>4416.3</v>
      </c>
      <c r="N1884" s="49">
        <f>ROUND((4654*$T$1),0)*1.05</f>
        <v>4886.7</v>
      </c>
      <c r="O1884" s="49">
        <f>ROUND((5102*$T$1),0)*1.05</f>
        <v>5357.1</v>
      </c>
      <c r="P1884" s="49">
        <f>ROUND((5550*$T$1),0)*1.05</f>
        <v>5827.5</v>
      </c>
      <c r="Q1884" s="49">
        <f>ROUND((5998*$T$1),0)*1.05</f>
        <v>6297.9000000000005</v>
      </c>
      <c r="R1884" s="33"/>
      <c r="S1884" s="33"/>
      <c r="T1884" s="33"/>
      <c r="U1884" s="33"/>
    </row>
    <row r="1885" spans="1:21" ht="15" customHeight="1" x14ac:dyDescent="0.3">
      <c r="A1885" s="42"/>
      <c r="B1885" s="44" t="s">
        <v>1019</v>
      </c>
      <c r="C1885" s="44" t="s">
        <v>45</v>
      </c>
      <c r="D1885" s="47">
        <v>2.1</v>
      </c>
      <c r="E1885" s="46" t="s">
        <v>47</v>
      </c>
      <c r="F1885" s="47">
        <v>1</v>
      </c>
      <c r="G1885" s="46" t="s">
        <v>48</v>
      </c>
      <c r="H1885" s="47">
        <v>0.45</v>
      </c>
      <c r="I1885" s="48">
        <v>20</v>
      </c>
      <c r="J1885" s="49">
        <f>ROUND((3269*$T$1),0)*1.05</f>
        <v>3432.4500000000003</v>
      </c>
      <c r="K1885" s="49">
        <f>ROUND((3477*$T$1),0)*1.05</f>
        <v>3650.8500000000004</v>
      </c>
      <c r="L1885" s="49">
        <f>ROUND((3947*$T$1),0)*1.05</f>
        <v>4144.3500000000004</v>
      </c>
      <c r="M1885" s="49">
        <f>ROUND((4417*$T$1),0)*1.05</f>
        <v>4637.8500000000004</v>
      </c>
      <c r="N1885" s="49">
        <f>ROUND((4886*$T$1),0)*1.05</f>
        <v>5130.3</v>
      </c>
      <c r="O1885" s="49">
        <f>ROUND((5357*$T$1),0)*1.05</f>
        <v>5624.85</v>
      </c>
      <c r="P1885" s="49">
        <f>ROUND((5827*$T$1),0)*1.05</f>
        <v>6118.35</v>
      </c>
      <c r="Q1885" s="49">
        <f>ROUND((6297*$T$1),0)*1.05</f>
        <v>6611.85</v>
      </c>
      <c r="R1885" s="33"/>
      <c r="S1885" s="33"/>
      <c r="T1885" s="33"/>
      <c r="U1885" s="33"/>
    </row>
    <row r="1886" spans="1:21" ht="15" customHeight="1" x14ac:dyDescent="0.3">
      <c r="A1886" s="42"/>
      <c r="B1886" s="44"/>
      <c r="C1886" s="44"/>
      <c r="D1886" s="47"/>
      <c r="E1886" s="46"/>
      <c r="F1886" s="47"/>
      <c r="G1886" s="46"/>
      <c r="H1886" s="47"/>
      <c r="I1886" s="57"/>
      <c r="J1886" s="58"/>
      <c r="K1886" s="58"/>
      <c r="L1886" s="58"/>
      <c r="M1886" s="87" t="s">
        <v>134</v>
      </c>
      <c r="N1886" s="58"/>
      <c r="O1886" s="58"/>
      <c r="P1886" s="58"/>
      <c r="Q1886" s="58"/>
    </row>
    <row r="1887" spans="1:21" ht="15" customHeight="1" x14ac:dyDescent="0.3">
      <c r="A1887" s="42"/>
      <c r="B1887" s="59" t="s">
        <v>511</v>
      </c>
      <c r="C1887" s="59"/>
      <c r="D1887" s="59"/>
      <c r="E1887" s="59"/>
      <c r="F1887" s="59"/>
      <c r="G1887" s="59"/>
      <c r="H1887" s="59"/>
      <c r="I1887" s="61"/>
      <c r="J1887" s="62"/>
      <c r="K1887" s="62"/>
      <c r="L1887" s="62"/>
      <c r="M1887" s="62"/>
      <c r="N1887" s="62"/>
      <c r="O1887" s="62"/>
      <c r="P1887" s="62"/>
      <c r="Q1887" s="62"/>
    </row>
    <row r="1889" spans="1:21" ht="29.1" customHeight="1" x14ac:dyDescent="0.25">
      <c r="A1889" s="127" t="s">
        <v>1020</v>
      </c>
      <c r="B1889" s="77"/>
      <c r="C1889" s="187" t="s">
        <v>41</v>
      </c>
      <c r="D1889" s="187"/>
      <c r="E1889" s="187"/>
      <c r="F1889" s="187"/>
      <c r="G1889" s="187"/>
      <c r="H1889" s="187"/>
      <c r="I1889" s="78" t="s">
        <v>42</v>
      </c>
      <c r="J1889" s="41" t="s">
        <v>43</v>
      </c>
      <c r="K1889" s="41">
        <v>1000</v>
      </c>
      <c r="L1889" s="41">
        <v>2000</v>
      </c>
      <c r="M1889" s="41">
        <v>3000</v>
      </c>
      <c r="N1889" s="41">
        <v>4000</v>
      </c>
      <c r="O1889" s="41">
        <v>5000</v>
      </c>
      <c r="P1889" s="41">
        <v>6000</v>
      </c>
      <c r="Q1889" s="41">
        <v>7000</v>
      </c>
    </row>
    <row r="1890" spans="1:21" ht="15" customHeight="1" x14ac:dyDescent="0.3">
      <c r="A1890" s="42"/>
      <c r="B1890" s="44" t="s">
        <v>1021</v>
      </c>
      <c r="C1890" s="44" t="s">
        <v>45</v>
      </c>
      <c r="D1890" s="47">
        <v>0.5</v>
      </c>
      <c r="E1890" s="46" t="s">
        <v>47</v>
      </c>
      <c r="F1890" s="47">
        <v>0.5</v>
      </c>
      <c r="G1890" s="46" t="s">
        <v>48</v>
      </c>
      <c r="H1890" s="47">
        <v>0.45</v>
      </c>
      <c r="I1890" s="49">
        <v>1.5</v>
      </c>
      <c r="J1890" s="49">
        <f>ROUND((1669*$T$1),0)*1.05</f>
        <v>1752.45</v>
      </c>
      <c r="K1890" s="49">
        <f>ROUND((1836*$T$1),0)*1.05</f>
        <v>1927.8000000000002</v>
      </c>
      <c r="L1890" s="49">
        <f>ROUND((1988*$T$1),0)*1.05</f>
        <v>2087.4</v>
      </c>
      <c r="M1890" s="49">
        <f>ROUND((2023*$T$1),0)*1.05</f>
        <v>2124.15</v>
      </c>
      <c r="N1890" s="49">
        <f>ROUND((2057*$T$1),0)*1.05</f>
        <v>2159.85</v>
      </c>
      <c r="O1890" s="49">
        <f>ROUND((2093*$T$1),0)*1.05</f>
        <v>2197.65</v>
      </c>
      <c r="P1890" s="49">
        <f>ROUND((2129*$T$1),0)*1.05</f>
        <v>2235.4500000000003</v>
      </c>
      <c r="Q1890" s="49">
        <f>ROUND((2165*$T$1),0)*1.05</f>
        <v>2273.25</v>
      </c>
      <c r="R1890" s="33"/>
      <c r="S1890" s="33"/>
      <c r="T1890" s="33"/>
      <c r="U1890" s="33"/>
    </row>
    <row r="1891" spans="1:21" ht="15" customHeight="1" x14ac:dyDescent="0.3">
      <c r="A1891" s="42"/>
      <c r="B1891" s="44"/>
      <c r="C1891" s="44"/>
      <c r="D1891" s="47"/>
      <c r="E1891" s="46"/>
      <c r="F1891" s="47"/>
      <c r="G1891" s="46"/>
      <c r="H1891" s="47"/>
      <c r="I1891" s="48"/>
      <c r="J1891" s="49"/>
      <c r="K1891" s="49"/>
      <c r="L1891" s="49"/>
      <c r="M1891" s="49"/>
      <c r="N1891" s="49"/>
      <c r="O1891" s="49"/>
      <c r="P1891" s="49"/>
      <c r="Q1891" s="49"/>
    </row>
    <row r="1892" spans="1:21" ht="15" customHeight="1" x14ac:dyDescent="0.3">
      <c r="A1892" s="42"/>
      <c r="B1892" s="44"/>
      <c r="C1892" s="44"/>
      <c r="D1892" s="47"/>
      <c r="E1892" s="46"/>
      <c r="F1892" s="47"/>
      <c r="G1892" s="46"/>
      <c r="H1892" s="47"/>
      <c r="I1892" s="48"/>
      <c r="J1892" s="49"/>
      <c r="K1892" s="49"/>
      <c r="L1892" s="49"/>
      <c r="M1892" s="49"/>
      <c r="N1892" s="49"/>
      <c r="O1892" s="49"/>
      <c r="P1892" s="49"/>
      <c r="Q1892" s="49"/>
    </row>
    <row r="1893" spans="1:21" ht="15" customHeight="1" x14ac:dyDescent="0.3">
      <c r="A1893" s="42"/>
      <c r="B1893" s="44"/>
      <c r="C1893" s="44"/>
      <c r="D1893" s="47"/>
      <c r="E1893" s="46"/>
      <c r="F1893" s="47"/>
      <c r="G1893" s="46"/>
      <c r="H1893" s="47"/>
      <c r="I1893" s="48"/>
      <c r="J1893" s="49"/>
      <c r="K1893" s="49"/>
      <c r="L1893" s="49"/>
      <c r="M1893" s="49"/>
      <c r="N1893" s="49"/>
      <c r="O1893" s="49"/>
      <c r="P1893" s="49"/>
      <c r="Q1893" s="49"/>
    </row>
    <row r="1894" spans="1:21" ht="15" customHeight="1" x14ac:dyDescent="0.3">
      <c r="A1894" s="42"/>
      <c r="B1894" s="44"/>
      <c r="C1894" s="44"/>
      <c r="D1894" s="47"/>
      <c r="E1894" s="46"/>
      <c r="F1894" s="47"/>
      <c r="G1894" s="46"/>
      <c r="H1894" s="47"/>
      <c r="I1894" s="57"/>
      <c r="J1894" s="58"/>
      <c r="K1894" s="58"/>
      <c r="L1894" s="58"/>
      <c r="M1894" s="87" t="s">
        <v>134</v>
      </c>
      <c r="N1894" s="58"/>
      <c r="O1894" s="58"/>
      <c r="P1894" s="58"/>
      <c r="Q1894" s="58"/>
    </row>
    <row r="1895" spans="1:21" ht="15" customHeight="1" x14ac:dyDescent="0.3">
      <c r="A1895" s="42"/>
      <c r="B1895" s="59" t="s">
        <v>511</v>
      </c>
      <c r="C1895" s="59"/>
      <c r="D1895" s="59"/>
      <c r="E1895" s="59"/>
      <c r="F1895" s="59"/>
      <c r="G1895" s="59"/>
      <c r="H1895" s="59"/>
      <c r="I1895" s="61"/>
      <c r="J1895" s="62"/>
      <c r="K1895" s="62"/>
      <c r="L1895" s="62"/>
      <c r="M1895" s="62"/>
      <c r="N1895" s="62"/>
      <c r="O1895" s="62"/>
      <c r="P1895" s="62"/>
      <c r="Q1895" s="62"/>
    </row>
    <row r="1897" spans="1:21" ht="29.1" customHeight="1" x14ac:dyDescent="0.25">
      <c r="A1897" s="127" t="s">
        <v>1022</v>
      </c>
      <c r="B1897" s="77"/>
      <c r="C1897" s="187" t="s">
        <v>41</v>
      </c>
      <c r="D1897" s="187"/>
      <c r="E1897" s="187"/>
      <c r="F1897" s="187"/>
      <c r="G1897" s="187"/>
      <c r="H1897" s="187"/>
      <c r="I1897" s="78" t="s">
        <v>42</v>
      </c>
      <c r="J1897" s="41" t="s">
        <v>43</v>
      </c>
      <c r="K1897" s="41">
        <v>1000</v>
      </c>
      <c r="L1897" s="41">
        <v>2000</v>
      </c>
      <c r="M1897" s="41">
        <v>3000</v>
      </c>
      <c r="N1897" s="41">
        <v>4000</v>
      </c>
      <c r="O1897" s="41">
        <v>5000</v>
      </c>
      <c r="P1897" s="41">
        <v>6000</v>
      </c>
      <c r="Q1897" s="41">
        <v>7000</v>
      </c>
    </row>
    <row r="1898" spans="1:21" ht="15" customHeight="1" x14ac:dyDescent="0.3">
      <c r="A1898" s="42"/>
      <c r="B1898" s="44" t="s">
        <v>792</v>
      </c>
      <c r="C1898" s="44" t="s">
        <v>45</v>
      </c>
      <c r="D1898" s="47">
        <v>1</v>
      </c>
      <c r="E1898" s="46" t="s">
        <v>47</v>
      </c>
      <c r="F1898" s="47">
        <v>0.6</v>
      </c>
      <c r="G1898" s="46" t="s">
        <v>48</v>
      </c>
      <c r="H1898" s="47">
        <v>0.45</v>
      </c>
      <c r="I1898" s="49">
        <v>3.5</v>
      </c>
      <c r="J1898" s="49">
        <f>ROUND((2297*$T$1),0)*1.05</f>
        <v>2411.85</v>
      </c>
      <c r="K1898" s="49">
        <f>ROUND((2444*$T$1),0)*1.05</f>
        <v>2566.2000000000003</v>
      </c>
      <c r="L1898" s="49">
        <f>ROUND((2532*$T$1),0)*1.05</f>
        <v>2658.6</v>
      </c>
      <c r="M1898" s="49">
        <f>ROUND((2621*$T$1),0)*1.05</f>
        <v>2752.05</v>
      </c>
      <c r="N1898" s="49">
        <f>ROUND((2709*$T$1),0)*1.05</f>
        <v>2844.4500000000003</v>
      </c>
      <c r="O1898" s="49">
        <f>ROUND((2798*$T$1),0)*1.05</f>
        <v>2937.9</v>
      </c>
      <c r="P1898" s="49">
        <f>ROUND((2887*$T$1),0)*1.05</f>
        <v>3031.35</v>
      </c>
      <c r="Q1898" s="49">
        <f>ROUND((2976*$T$1),0)*1.05</f>
        <v>3124.8</v>
      </c>
      <c r="R1898" s="33"/>
      <c r="S1898" s="33"/>
      <c r="T1898" s="33"/>
      <c r="U1898" s="33"/>
    </row>
    <row r="1899" spans="1:21" ht="15" customHeight="1" x14ac:dyDescent="0.3">
      <c r="A1899" s="42"/>
      <c r="B1899" s="44" t="s">
        <v>1017</v>
      </c>
      <c r="C1899" s="44" t="s">
        <v>45</v>
      </c>
      <c r="D1899" s="47">
        <v>1.6</v>
      </c>
      <c r="E1899" s="46" t="s">
        <v>47</v>
      </c>
      <c r="F1899" s="47">
        <v>0.7</v>
      </c>
      <c r="G1899" s="46" t="s">
        <v>48</v>
      </c>
      <c r="H1899" s="47">
        <v>0.45</v>
      </c>
      <c r="I1899" s="48">
        <v>4</v>
      </c>
      <c r="J1899" s="49">
        <f>ROUND((2418*$T$1),0)*1.05</f>
        <v>2538.9</v>
      </c>
      <c r="K1899" s="49">
        <f>ROUND((2573*$T$1),0)*1.05</f>
        <v>2701.65</v>
      </c>
      <c r="L1899" s="49">
        <f>ROUND((2665*$T$1),0)*1.05</f>
        <v>2798.25</v>
      </c>
      <c r="M1899" s="49">
        <f>ROUND((2759*$T$1),0)*1.05</f>
        <v>2896.9500000000003</v>
      </c>
      <c r="N1899" s="49">
        <f>ROUND((2852*$T$1),0)*1.05</f>
        <v>2994.6</v>
      </c>
      <c r="O1899" s="49">
        <f>ROUND((2945*$T$1),0)*1.05</f>
        <v>3092.25</v>
      </c>
      <c r="P1899" s="49">
        <f>ROUND((3038*$T$1),0)*1.05</f>
        <v>3189.9</v>
      </c>
      <c r="Q1899" s="49">
        <f>ROUND((3131*$T$1),0)*1.05</f>
        <v>3287.55</v>
      </c>
      <c r="R1899" s="33"/>
      <c r="S1899" s="33"/>
      <c r="T1899" s="33"/>
      <c r="U1899" s="33"/>
    </row>
    <row r="1900" spans="1:21" ht="15" customHeight="1" x14ac:dyDescent="0.3">
      <c r="A1900" s="42"/>
      <c r="B1900" s="44" t="s">
        <v>907</v>
      </c>
      <c r="C1900" s="44" t="s">
        <v>45</v>
      </c>
      <c r="D1900" s="47">
        <v>1.8</v>
      </c>
      <c r="E1900" s="46" t="s">
        <v>47</v>
      </c>
      <c r="F1900" s="47">
        <v>0.7</v>
      </c>
      <c r="G1900" s="46" t="s">
        <v>48</v>
      </c>
      <c r="H1900" s="47">
        <v>0.45</v>
      </c>
      <c r="I1900" s="48">
        <v>4.5</v>
      </c>
      <c r="J1900" s="49">
        <f>ROUND((2546*$T$1),0)*1.05</f>
        <v>2673.3</v>
      </c>
      <c r="K1900" s="49">
        <f>ROUND((2708*$T$1),0)*1.05</f>
        <v>2843.4</v>
      </c>
      <c r="L1900" s="49">
        <f>ROUND((2806*$T$1),0)*1.05</f>
        <v>2946.3</v>
      </c>
      <c r="M1900" s="49">
        <f>ROUND((2904*$T$1),0)*1.05</f>
        <v>3049.2000000000003</v>
      </c>
      <c r="N1900" s="49">
        <f>ROUND((3002*$T$1),0)*1.05</f>
        <v>3152.1</v>
      </c>
      <c r="O1900" s="49">
        <f>ROUND((3100*$T$1),0)*1.05</f>
        <v>3255</v>
      </c>
      <c r="P1900" s="49">
        <f>ROUND((3198*$T$1),0)*1.05</f>
        <v>3357.9</v>
      </c>
      <c r="Q1900" s="49">
        <f>ROUND((3296*$T$1),0)*1.05</f>
        <v>3460.8</v>
      </c>
      <c r="R1900" s="33"/>
      <c r="S1900" s="33"/>
      <c r="T1900" s="33"/>
      <c r="U1900" s="33"/>
    </row>
    <row r="1901" spans="1:21" ht="15" customHeight="1" x14ac:dyDescent="0.3">
      <c r="A1901" s="42"/>
      <c r="B1901" s="44" t="s">
        <v>763</v>
      </c>
      <c r="C1901" s="44" t="s">
        <v>45</v>
      </c>
      <c r="D1901" s="47">
        <v>2</v>
      </c>
      <c r="E1901" s="46" t="s">
        <v>47</v>
      </c>
      <c r="F1901" s="47">
        <v>0.7</v>
      </c>
      <c r="G1901" s="46" t="s">
        <v>48</v>
      </c>
      <c r="H1901" s="47">
        <v>0.45</v>
      </c>
      <c r="I1901" s="48">
        <v>5</v>
      </c>
      <c r="J1901" s="49">
        <f>ROUND((2673*$T$1),0)*1.05</f>
        <v>2806.65</v>
      </c>
      <c r="K1901" s="49">
        <f>ROUND((2843*$T$1),0)*1.05</f>
        <v>2985.15</v>
      </c>
      <c r="L1901" s="49">
        <f>ROUND((2946*$T$1),0)*1.05</f>
        <v>3093.3</v>
      </c>
      <c r="M1901" s="49">
        <f>ROUND((3049*$T$1),0)*1.05</f>
        <v>3201.4500000000003</v>
      </c>
      <c r="N1901" s="49">
        <f>ROUND((3152*$T$1),0)*1.05</f>
        <v>3309.6000000000004</v>
      </c>
      <c r="O1901" s="49">
        <f>ROUND((3255*$T$1),0)*1.05</f>
        <v>3417.75</v>
      </c>
      <c r="P1901" s="49">
        <f>ROUND((3358*$T$1),0)*1.05</f>
        <v>3525.9</v>
      </c>
      <c r="Q1901" s="49">
        <f>ROUND((3461*$T$1),0)*1.05</f>
        <v>3634.05</v>
      </c>
      <c r="R1901" s="33"/>
      <c r="S1901" s="33"/>
      <c r="T1901" s="33"/>
      <c r="U1901" s="33"/>
    </row>
    <row r="1902" spans="1:21" ht="15" customHeight="1" x14ac:dyDescent="0.3">
      <c r="A1902" s="42"/>
      <c r="B1902" s="44"/>
      <c r="C1902" s="44"/>
      <c r="D1902" s="47"/>
      <c r="E1902" s="46"/>
      <c r="F1902" s="47"/>
      <c r="G1902" s="46"/>
      <c r="H1902" s="47"/>
      <c r="I1902" s="48"/>
      <c r="J1902" s="49"/>
      <c r="K1902" s="49"/>
      <c r="L1902" s="49"/>
      <c r="M1902" s="49"/>
      <c r="N1902" s="49"/>
      <c r="O1902" s="49"/>
      <c r="P1902" s="49"/>
      <c r="Q1902" s="49"/>
      <c r="R1902" s="33"/>
      <c r="S1902" s="33"/>
      <c r="T1902" s="33"/>
      <c r="U1902" s="33"/>
    </row>
    <row r="1903" spans="1:21" ht="15" customHeight="1" x14ac:dyDescent="0.3">
      <c r="A1903" s="42"/>
      <c r="B1903" s="44"/>
      <c r="C1903" s="44"/>
      <c r="D1903" s="47"/>
      <c r="E1903" s="46"/>
      <c r="F1903" s="47"/>
      <c r="G1903" s="46"/>
      <c r="H1903" s="47"/>
      <c r="I1903" s="57"/>
      <c r="J1903" s="58"/>
      <c r="K1903" s="58"/>
      <c r="L1903" s="58"/>
      <c r="M1903" s="87" t="s">
        <v>134</v>
      </c>
      <c r="N1903" s="58"/>
      <c r="O1903" s="58"/>
      <c r="P1903" s="58"/>
      <c r="Q1903" s="58"/>
    </row>
    <row r="1904" spans="1:21" ht="15" customHeight="1" x14ac:dyDescent="0.3">
      <c r="A1904" s="42"/>
      <c r="B1904" s="59" t="s">
        <v>511</v>
      </c>
      <c r="C1904" s="59"/>
      <c r="D1904" s="59"/>
      <c r="E1904" s="59"/>
      <c r="F1904" s="59"/>
      <c r="G1904" s="59"/>
      <c r="H1904" s="59"/>
      <c r="I1904" s="61"/>
      <c r="J1904" s="62"/>
      <c r="K1904" s="62"/>
      <c r="L1904" s="62"/>
      <c r="M1904" s="62"/>
      <c r="N1904" s="62"/>
      <c r="O1904" s="62"/>
      <c r="P1904" s="62"/>
      <c r="Q1904" s="62"/>
    </row>
    <row r="1906" spans="1:21" ht="29.1" customHeight="1" x14ac:dyDescent="0.25">
      <c r="A1906" s="127" t="s">
        <v>1023</v>
      </c>
      <c r="B1906" s="77"/>
      <c r="C1906" s="187" t="s">
        <v>41</v>
      </c>
      <c r="D1906" s="187"/>
      <c r="E1906" s="187"/>
      <c r="F1906" s="187"/>
      <c r="G1906" s="187"/>
      <c r="H1906" s="187"/>
      <c r="I1906" s="78" t="s">
        <v>42</v>
      </c>
      <c r="J1906" s="41" t="s">
        <v>43</v>
      </c>
      <c r="K1906" s="41">
        <v>1000</v>
      </c>
      <c r="L1906" s="41">
        <v>2000</v>
      </c>
      <c r="M1906" s="41">
        <v>3000</v>
      </c>
      <c r="N1906" s="41">
        <v>4000</v>
      </c>
      <c r="O1906" s="41">
        <v>5000</v>
      </c>
      <c r="P1906" s="41">
        <v>6000</v>
      </c>
      <c r="Q1906" s="41">
        <v>7000</v>
      </c>
    </row>
    <row r="1907" spans="1:21" ht="15" customHeight="1" x14ac:dyDescent="0.3">
      <c r="A1907" s="42"/>
      <c r="B1907" s="44" t="s">
        <v>1024</v>
      </c>
      <c r="C1907" s="44" t="s">
        <v>45</v>
      </c>
      <c r="D1907" s="47">
        <v>0.6</v>
      </c>
      <c r="E1907" s="46" t="s">
        <v>47</v>
      </c>
      <c r="F1907" s="47">
        <v>0.6</v>
      </c>
      <c r="G1907" s="46" t="s">
        <v>48</v>
      </c>
      <c r="H1907" s="47">
        <v>0.45</v>
      </c>
      <c r="I1907" s="49">
        <v>2.5</v>
      </c>
      <c r="J1907" s="49">
        <f>ROUND((1026*$T$1),0)*1.05</f>
        <v>1077.3</v>
      </c>
      <c r="K1907" s="49">
        <f>ROUND((1091*$T$1),0)*1.05</f>
        <v>1145.55</v>
      </c>
      <c r="L1907" s="49">
        <f>ROUND((1150*$T$1),0)*1.05</f>
        <v>1207.5</v>
      </c>
      <c r="M1907" s="49">
        <f>ROUND((1208*$T$1),0)*1.05</f>
        <v>1268.4000000000001</v>
      </c>
      <c r="N1907" s="49">
        <f>ROUND((1267*$T$1),0)*1.05</f>
        <v>1330.3500000000001</v>
      </c>
      <c r="O1907" s="49">
        <f>ROUND((1324*$T$1),0)*1.05</f>
        <v>1390.2</v>
      </c>
      <c r="P1907" s="49">
        <f>ROUND((1382*$T$1),0)*1.05</f>
        <v>1451.1000000000001</v>
      </c>
      <c r="Q1907" s="49">
        <f>ROUND((1440*$T$1),0)*1.05</f>
        <v>1512</v>
      </c>
      <c r="R1907" s="33"/>
      <c r="S1907" s="33"/>
      <c r="T1907" s="33"/>
      <c r="U1907" s="33"/>
    </row>
    <row r="1908" spans="1:21" ht="15" customHeight="1" x14ac:dyDescent="0.3">
      <c r="A1908" s="42"/>
      <c r="B1908" s="44" t="s">
        <v>1025</v>
      </c>
      <c r="C1908" s="44" t="s">
        <v>45</v>
      </c>
      <c r="D1908" s="47">
        <v>0.7</v>
      </c>
      <c r="E1908" s="46" t="s">
        <v>47</v>
      </c>
      <c r="F1908" s="47">
        <v>0.7</v>
      </c>
      <c r="G1908" s="46" t="s">
        <v>48</v>
      </c>
      <c r="H1908" s="47">
        <v>0.45</v>
      </c>
      <c r="I1908" s="48">
        <v>4</v>
      </c>
      <c r="J1908" s="49">
        <f>ROUND((1120*$T$1),0)*1.05</f>
        <v>1176</v>
      </c>
      <c r="K1908" s="49">
        <f>ROUND((1179*$T$1),0)*1.05</f>
        <v>1237.95</v>
      </c>
      <c r="L1908" s="49">
        <f>ROUND((1238*$T$1),0)*1.05</f>
        <v>1299.9000000000001</v>
      </c>
      <c r="M1908" s="49">
        <f>ROUND((1297*$T$1),0)*1.05</f>
        <v>1361.8500000000001</v>
      </c>
      <c r="N1908" s="49">
        <f>ROUND((1356*$T$1),0)*1.05</f>
        <v>1423.8</v>
      </c>
      <c r="O1908" s="49">
        <f>ROUND((1415*$T$1),0)*1.05</f>
        <v>1485.75</v>
      </c>
      <c r="P1908" s="49">
        <f>ROUND((1474*$T$1),0)*1.05</f>
        <v>1547.7</v>
      </c>
      <c r="Q1908" s="49">
        <f>ROUND((1533*$T$1),0)*1.05</f>
        <v>1609.65</v>
      </c>
      <c r="R1908" s="33"/>
      <c r="S1908" s="33"/>
      <c r="T1908" s="33"/>
      <c r="U1908" s="33"/>
    </row>
    <row r="1909" spans="1:21" ht="15" customHeight="1" x14ac:dyDescent="0.3">
      <c r="A1909" s="42"/>
      <c r="B1909" s="44"/>
      <c r="C1909" s="44"/>
      <c r="D1909" s="47"/>
      <c r="E1909" s="46"/>
      <c r="F1909" s="47"/>
      <c r="G1909" s="46"/>
      <c r="H1909" s="47"/>
      <c r="I1909" s="48"/>
      <c r="J1909" s="49"/>
      <c r="K1909" s="49"/>
      <c r="L1909" s="49"/>
      <c r="M1909" s="49"/>
      <c r="N1909" s="49"/>
      <c r="O1909" s="49"/>
      <c r="P1909" s="49"/>
      <c r="Q1909" s="49"/>
      <c r="R1909" s="33"/>
      <c r="S1909" s="33"/>
      <c r="T1909" s="33"/>
      <c r="U1909" s="33"/>
    </row>
    <row r="1910" spans="1:21" ht="15" customHeight="1" x14ac:dyDescent="0.3">
      <c r="A1910" s="42"/>
      <c r="B1910" s="44"/>
      <c r="C1910" s="44"/>
      <c r="D1910" s="47"/>
      <c r="E1910" s="46"/>
      <c r="F1910" s="47"/>
      <c r="G1910" s="46"/>
      <c r="H1910" s="47"/>
      <c r="I1910" s="48"/>
      <c r="J1910" s="49"/>
      <c r="K1910" s="49"/>
      <c r="L1910" s="49"/>
      <c r="M1910" s="49"/>
      <c r="N1910" s="49"/>
      <c r="O1910" s="49"/>
      <c r="P1910" s="49"/>
      <c r="Q1910" s="49"/>
    </row>
    <row r="1911" spans="1:21" ht="15" customHeight="1" x14ac:dyDescent="0.3">
      <c r="A1911" s="42"/>
      <c r="B1911" s="44"/>
      <c r="C1911" s="44"/>
      <c r="D1911" s="47"/>
      <c r="E1911" s="46"/>
      <c r="F1911" s="47"/>
      <c r="G1911" s="46"/>
      <c r="H1911" s="47"/>
      <c r="I1911" s="57"/>
      <c r="J1911" s="58"/>
      <c r="K1911" s="58"/>
      <c r="L1911" s="58"/>
      <c r="M1911" s="87" t="s">
        <v>134</v>
      </c>
      <c r="N1911" s="58"/>
      <c r="O1911" s="58"/>
      <c r="P1911" s="58"/>
      <c r="Q1911" s="58"/>
    </row>
    <row r="1912" spans="1:21" ht="15" customHeight="1" x14ac:dyDescent="0.3">
      <c r="A1912" s="42"/>
      <c r="B1912" s="59" t="s">
        <v>511</v>
      </c>
      <c r="C1912" s="59"/>
      <c r="D1912" s="59"/>
      <c r="E1912" s="59"/>
      <c r="F1912" s="59"/>
      <c r="G1912" s="59"/>
      <c r="H1912" s="59"/>
      <c r="I1912" s="61"/>
      <c r="J1912" s="62"/>
      <c r="K1912" s="62"/>
      <c r="L1912" s="62"/>
      <c r="M1912" s="62"/>
      <c r="N1912" s="62"/>
      <c r="O1912" s="62"/>
      <c r="P1912" s="62"/>
      <c r="Q1912" s="62"/>
    </row>
  </sheetData>
  <mergeCells count="125">
    <mergeCell ref="C1859:H1859"/>
    <mergeCell ref="C1868:H1868"/>
    <mergeCell ref="C1878:H1878"/>
    <mergeCell ref="C1889:H1889"/>
    <mergeCell ref="C1897:H1897"/>
    <mergeCell ref="C1906:H1906"/>
    <mergeCell ref="C1779:H1779"/>
    <mergeCell ref="C1788:H1788"/>
    <mergeCell ref="C1797:H1797"/>
    <mergeCell ref="C1806:H1806"/>
    <mergeCell ref="C1814:H1814"/>
    <mergeCell ref="C1823:H1823"/>
    <mergeCell ref="C1832:H1832"/>
    <mergeCell ref="C1841:H1841"/>
    <mergeCell ref="C1850:H1850"/>
    <mergeCell ref="C1643:H1643"/>
    <mergeCell ref="C1663:H1663"/>
    <mergeCell ref="C1673:H1673"/>
    <mergeCell ref="C1683:H1683"/>
    <mergeCell ref="C1699:H1699"/>
    <mergeCell ref="C1715:H1715"/>
    <mergeCell ref="C1731:H1731"/>
    <mergeCell ref="C1747:H1747"/>
    <mergeCell ref="C1763:H1763"/>
    <mergeCell ref="C1524:H1524"/>
    <mergeCell ref="C1534:H1534"/>
    <mergeCell ref="A1550:B1550"/>
    <mergeCell ref="C1550:H1550"/>
    <mergeCell ref="C1578:H1578"/>
    <mergeCell ref="C1594:H1594"/>
    <mergeCell ref="C1610:H1610"/>
    <mergeCell ref="A1626:B1626"/>
    <mergeCell ref="C1626:H1626"/>
    <mergeCell ref="C1427:H1427"/>
    <mergeCell ref="C1437:H1437"/>
    <mergeCell ref="C1448:H1448"/>
    <mergeCell ref="C1458:H1458"/>
    <mergeCell ref="C1472:H1472"/>
    <mergeCell ref="C1481:H1481"/>
    <mergeCell ref="C1491:H1491"/>
    <mergeCell ref="C1500:H1500"/>
    <mergeCell ref="A1513:B1513"/>
    <mergeCell ref="C1513:H1513"/>
    <mergeCell ref="C1307:H1307"/>
    <mergeCell ref="C1319:H1319"/>
    <mergeCell ref="C1331:H1331"/>
    <mergeCell ref="C1343:H1343"/>
    <mergeCell ref="C1363:H1363"/>
    <mergeCell ref="C1373:H1373"/>
    <mergeCell ref="C1389:H1389"/>
    <mergeCell ref="C1405:H1405"/>
    <mergeCell ref="C1417:H1417"/>
    <mergeCell ref="C1204:I1204"/>
    <mergeCell ref="C1215:H1215"/>
    <mergeCell ref="C1225:H1225"/>
    <mergeCell ref="C1237:H1237"/>
    <mergeCell ref="C1250:H1250"/>
    <mergeCell ref="C1260:H1260"/>
    <mergeCell ref="C1273:H1273"/>
    <mergeCell ref="C1282:H1282"/>
    <mergeCell ref="C1290:H1290"/>
    <mergeCell ref="A997:B997"/>
    <mergeCell ref="C997:H997"/>
    <mergeCell ref="A1050:B1050"/>
    <mergeCell ref="C1050:H1050"/>
    <mergeCell ref="C1090:H1090"/>
    <mergeCell ref="C1116:H1116"/>
    <mergeCell ref="C1181:H1181"/>
    <mergeCell ref="C1192:I1192"/>
    <mergeCell ref="C1198:H1198"/>
    <mergeCell ref="C797:H797"/>
    <mergeCell ref="C808:H808"/>
    <mergeCell ref="C817:H817"/>
    <mergeCell ref="C830:H830"/>
    <mergeCell ref="C846:H846"/>
    <mergeCell ref="C872:H872"/>
    <mergeCell ref="C881:H881"/>
    <mergeCell ref="C906:H906"/>
    <mergeCell ref="C942:H942"/>
    <mergeCell ref="C568:H568"/>
    <mergeCell ref="C617:H617"/>
    <mergeCell ref="C655:H655"/>
    <mergeCell ref="A669:B669"/>
    <mergeCell ref="C669:H669"/>
    <mergeCell ref="C727:H727"/>
    <mergeCell ref="C739:H739"/>
    <mergeCell ref="C750:H750"/>
    <mergeCell ref="B776:I776"/>
    <mergeCell ref="C446:H446"/>
    <mergeCell ref="A490:B490"/>
    <mergeCell ref="C490:H490"/>
    <mergeCell ref="C501:H501"/>
    <mergeCell ref="C513:H513"/>
    <mergeCell ref="C526:H526"/>
    <mergeCell ref="A536:B536"/>
    <mergeCell ref="C536:H536"/>
    <mergeCell ref="C552:H552"/>
    <mergeCell ref="A302:B302"/>
    <mergeCell ref="C302:H302"/>
    <mergeCell ref="C351:H351"/>
    <mergeCell ref="C360:H360"/>
    <mergeCell ref="C371:H371"/>
    <mergeCell ref="C375:I375"/>
    <mergeCell ref="A384:B384"/>
    <mergeCell ref="C384:H384"/>
    <mergeCell ref="C399:H399"/>
    <mergeCell ref="A135:B135"/>
    <mergeCell ref="C135:H135"/>
    <mergeCell ref="A170:B170"/>
    <mergeCell ref="C170:H170"/>
    <mergeCell ref="A217:B217"/>
    <mergeCell ref="C217:H217"/>
    <mergeCell ref="A238:I238"/>
    <mergeCell ref="C247:I247"/>
    <mergeCell ref="A253:B253"/>
    <mergeCell ref="C253:H253"/>
    <mergeCell ref="C1:H1"/>
    <mergeCell ref="C2:H2"/>
    <mergeCell ref="C40:H40"/>
    <mergeCell ref="C55:H55"/>
    <mergeCell ref="C63:H63"/>
    <mergeCell ref="C75:H75"/>
    <mergeCell ref="C85:H85"/>
    <mergeCell ref="C100:H100"/>
    <mergeCell ref="B117:I117"/>
  </mergeCells>
  <printOptions horizontalCentered="1"/>
  <pageMargins left="0" right="0" top="0" bottom="0" header="0.511811023622047" footer="0"/>
  <pageSetup paperSize="9" fitToHeight="0" orientation="landscape" horizontalDpi="300" verticalDpi="300"/>
  <headerFooter>
    <oddFooter>&amp;RPágina &amp;P</oddFooter>
  </headerFooter>
  <rowBreaks count="31" manualBreakCount="31">
    <brk id="62" max="16383" man="1"/>
    <brk id="99" max="16383" man="1"/>
    <brk id="134" max="16383" man="1"/>
    <brk id="169" max="16383" man="1"/>
    <brk id="216" max="16383" man="1"/>
    <brk id="252" max="16383" man="1"/>
    <brk id="301" max="16383" man="1"/>
    <brk id="398" max="16383" man="1"/>
    <brk id="445" max="16383" man="1"/>
    <brk id="512" max="16383" man="1"/>
    <brk id="567" max="16383" man="1"/>
    <brk id="616" max="16383" man="1"/>
    <brk id="668" max="16383" man="1"/>
    <brk id="738" max="16383" man="1"/>
    <brk id="807" max="16383" man="1"/>
    <brk id="871" max="16383" man="1"/>
    <brk id="941" max="16383" man="1"/>
    <brk id="996" max="16383" man="1"/>
    <brk id="1049" max="16383" man="1"/>
    <brk id="1115" max="16383" man="1"/>
    <brk id="1180" max="16383" man="1"/>
    <brk id="1249" max="16383" man="1"/>
    <brk id="1318" max="16383" man="1"/>
    <brk id="1388" max="16383" man="1"/>
    <brk id="1457" max="16383" man="1"/>
    <brk id="1523" max="16383" man="1"/>
    <brk id="1593" max="16383" man="1"/>
    <brk id="1682" max="16383" man="1"/>
    <brk id="1746" max="16383" man="1"/>
    <brk id="1813" max="16383" man="1"/>
    <brk id="1888" max="16383" man="1"/>
  </rowBreak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C1:AL749"/>
  <sheetViews>
    <sheetView tabSelected="1" topLeftCell="X1" zoomScale="70" zoomScaleNormal="70" workbookViewId="0">
      <selection activeCell="Z7" sqref="Z7"/>
    </sheetView>
  </sheetViews>
  <sheetFormatPr defaultColWidth="8.7109375" defaultRowHeight="15" customHeight="1" x14ac:dyDescent="0.35"/>
  <cols>
    <col min="3" max="3" width="86.42578125" customWidth="1"/>
    <col min="10" max="10" width="40.28515625" customWidth="1"/>
    <col min="12" max="12" width="25.7109375" customWidth="1"/>
    <col min="18" max="18" width="13.28515625" customWidth="1"/>
    <col min="19" max="19" width="14.5703125" style="169" customWidth="1"/>
    <col min="20" max="20" width="22.7109375" style="172" customWidth="1"/>
    <col min="21" max="21" width="10.140625" style="172" customWidth="1"/>
    <col min="22" max="22" width="15.140625" style="172" customWidth="1"/>
    <col min="23" max="23" width="23.7109375" style="172" customWidth="1"/>
    <col min="26" max="26" width="15.85546875" customWidth="1"/>
    <col min="27" max="27" width="15.42578125" customWidth="1"/>
    <col min="28" max="28" width="14.42578125" customWidth="1"/>
    <col min="29" max="29" width="21.140625" customWidth="1"/>
    <col min="33" max="33" width="116.5703125" bestFit="1" customWidth="1"/>
    <col min="34" max="34" width="15" customWidth="1"/>
    <col min="35" max="36" width="16.28515625" customWidth="1"/>
    <col min="37" max="37" width="18" style="172" customWidth="1"/>
    <col min="38" max="38" width="40" customWidth="1"/>
  </cols>
  <sheetData>
    <row r="1" spans="3:38" ht="15" customHeight="1" x14ac:dyDescent="0.35">
      <c r="AH1" s="194" t="s">
        <v>1034</v>
      </c>
      <c r="AI1" s="193" t="s">
        <v>1037</v>
      </c>
      <c r="AJ1" s="195" t="s">
        <v>1038</v>
      </c>
      <c r="AK1" s="196" t="s">
        <v>1039</v>
      </c>
      <c r="AL1" s="170" t="s">
        <v>1084</v>
      </c>
    </row>
    <row r="2" spans="3:38" ht="15" customHeight="1" x14ac:dyDescent="0.35">
      <c r="C2" s="43" t="s">
        <v>728</v>
      </c>
      <c r="J2" s="43" t="s">
        <v>1026</v>
      </c>
      <c r="L2" t="s">
        <v>1034</v>
      </c>
      <c r="R2" s="170" t="s">
        <v>1034</v>
      </c>
      <c r="S2" s="163" t="s">
        <v>1036</v>
      </c>
      <c r="T2" s="171" t="s">
        <v>37</v>
      </c>
      <c r="U2" s="171" t="s">
        <v>1037</v>
      </c>
      <c r="V2" s="171" t="s">
        <v>1038</v>
      </c>
      <c r="W2" s="171" t="s">
        <v>1039</v>
      </c>
      <c r="AG2" s="43" t="s">
        <v>728</v>
      </c>
      <c r="AH2" t="s">
        <v>1061</v>
      </c>
      <c r="AI2" t="s">
        <v>1053</v>
      </c>
      <c r="AJ2" t="s">
        <v>1055</v>
      </c>
      <c r="AK2" s="172" t="s">
        <v>1054</v>
      </c>
      <c r="AL2" s="43" t="s">
        <v>728</v>
      </c>
    </row>
    <row r="3" spans="3:38" ht="15" customHeight="1" x14ac:dyDescent="0.25">
      <c r="C3" s="43" t="s">
        <v>727</v>
      </c>
      <c r="J3" s="43" t="s">
        <v>49</v>
      </c>
      <c r="L3" t="s">
        <v>1035</v>
      </c>
      <c r="R3" s="170" t="s">
        <v>1059</v>
      </c>
      <c r="S3" s="164" t="s">
        <v>1063</v>
      </c>
      <c r="U3" s="171" t="s">
        <v>1053</v>
      </c>
      <c r="V3" s="171" t="s">
        <v>1040</v>
      </c>
      <c r="W3" s="171" t="s">
        <v>1054</v>
      </c>
      <c r="AG3" s="43" t="s">
        <v>727</v>
      </c>
      <c r="AH3" t="s">
        <v>1061</v>
      </c>
      <c r="AI3" t="s">
        <v>1081</v>
      </c>
      <c r="AJ3" t="s">
        <v>1055</v>
      </c>
      <c r="AK3" s="172" t="s">
        <v>1054</v>
      </c>
      <c r="AL3" s="43" t="s">
        <v>727</v>
      </c>
    </row>
    <row r="4" spans="3:38" ht="15" customHeight="1" x14ac:dyDescent="0.25">
      <c r="C4" s="43" t="s">
        <v>417</v>
      </c>
      <c r="J4" s="43" t="s">
        <v>51</v>
      </c>
      <c r="L4" t="s">
        <v>98</v>
      </c>
      <c r="R4" s="170" t="s">
        <v>1059</v>
      </c>
      <c r="S4" s="164" t="s">
        <v>1063</v>
      </c>
      <c r="U4" s="171" t="s">
        <v>1040</v>
      </c>
      <c r="V4" s="171" t="s">
        <v>1040</v>
      </c>
      <c r="W4" s="171" t="s">
        <v>1054</v>
      </c>
      <c r="AG4" s="43" t="s">
        <v>417</v>
      </c>
      <c r="AH4" t="s">
        <v>1061</v>
      </c>
      <c r="AI4" t="s">
        <v>1081</v>
      </c>
      <c r="AJ4" t="s">
        <v>1055</v>
      </c>
      <c r="AK4" s="172" t="s">
        <v>1054</v>
      </c>
      <c r="AL4" s="43" t="s">
        <v>417</v>
      </c>
    </row>
    <row r="5" spans="3:38" ht="15" customHeight="1" x14ac:dyDescent="0.25">
      <c r="C5" s="43" t="s">
        <v>416</v>
      </c>
      <c r="J5" s="50" t="s">
        <v>53</v>
      </c>
      <c r="R5" s="170" t="s">
        <v>98</v>
      </c>
      <c r="S5" s="164" t="s">
        <v>1063</v>
      </c>
      <c r="U5" s="171" t="s">
        <v>1040</v>
      </c>
      <c r="V5" s="171" t="s">
        <v>1040</v>
      </c>
      <c r="W5" s="171" t="s">
        <v>1054</v>
      </c>
      <c r="Y5" s="170" t="s">
        <v>1039</v>
      </c>
      <c r="Z5" s="193" t="s">
        <v>1037</v>
      </c>
      <c r="AA5" s="194" t="s">
        <v>1038</v>
      </c>
      <c r="AB5" s="194" t="s">
        <v>1034</v>
      </c>
      <c r="AG5" s="43" t="s">
        <v>416</v>
      </c>
      <c r="AH5" t="s">
        <v>1061</v>
      </c>
      <c r="AI5" t="s">
        <v>1081</v>
      </c>
      <c r="AJ5" t="s">
        <v>1055</v>
      </c>
      <c r="AK5" s="172" t="s">
        <v>1054</v>
      </c>
      <c r="AL5" s="43" t="s">
        <v>416</v>
      </c>
    </row>
    <row r="6" spans="3:38" ht="15" customHeight="1" x14ac:dyDescent="0.25">
      <c r="C6" s="43" t="s">
        <v>732</v>
      </c>
      <c r="J6" s="50" t="s">
        <v>55</v>
      </c>
      <c r="R6" s="170" t="s">
        <v>1059</v>
      </c>
      <c r="S6" s="164" t="s">
        <v>1064</v>
      </c>
      <c r="U6" s="171" t="s">
        <v>1053</v>
      </c>
      <c r="V6" s="171" t="s">
        <v>1055</v>
      </c>
      <c r="W6" s="171" t="s">
        <v>1056</v>
      </c>
      <c r="Y6" s="170" t="s">
        <v>1082</v>
      </c>
      <c r="Z6" s="171" t="s">
        <v>1053</v>
      </c>
      <c r="AA6" s="170" t="s">
        <v>1040</v>
      </c>
      <c r="AB6" s="170" t="s">
        <v>1059</v>
      </c>
      <c r="AC6" s="164" t="s">
        <v>1063</v>
      </c>
      <c r="AG6" s="43" t="s">
        <v>732</v>
      </c>
      <c r="AH6" t="s">
        <v>1061</v>
      </c>
      <c r="AI6" t="s">
        <v>1081</v>
      </c>
      <c r="AJ6" t="s">
        <v>1055</v>
      </c>
      <c r="AK6" s="172" t="s">
        <v>1054</v>
      </c>
    </row>
    <row r="7" spans="3:38" ht="15" customHeight="1" x14ac:dyDescent="0.25">
      <c r="C7" s="50" t="s">
        <v>184</v>
      </c>
      <c r="J7" s="50"/>
      <c r="R7" s="170" t="s">
        <v>98</v>
      </c>
      <c r="S7" s="164" t="s">
        <v>1064</v>
      </c>
      <c r="U7" s="171" t="s">
        <v>1040</v>
      </c>
      <c r="V7" s="171" t="s">
        <v>1040</v>
      </c>
      <c r="W7" s="171" t="s">
        <v>1054</v>
      </c>
      <c r="Y7" s="170" t="s">
        <v>1056</v>
      </c>
      <c r="Z7" s="171" t="s">
        <v>1081</v>
      </c>
      <c r="AA7" s="170" t="s">
        <v>1055</v>
      </c>
      <c r="AB7" s="170" t="s">
        <v>98</v>
      </c>
      <c r="AC7" s="164" t="s">
        <v>1064</v>
      </c>
      <c r="AG7" s="43" t="s">
        <v>386</v>
      </c>
      <c r="AH7" t="s">
        <v>386</v>
      </c>
      <c r="AI7" t="s">
        <v>1040</v>
      </c>
      <c r="AJ7" t="s">
        <v>1040</v>
      </c>
      <c r="AK7" s="172" t="s">
        <v>1054</v>
      </c>
    </row>
    <row r="8" spans="3:38" ht="15" customHeight="1" x14ac:dyDescent="0.25">
      <c r="C8" s="50" t="s">
        <v>235</v>
      </c>
      <c r="J8" s="43" t="s">
        <v>57</v>
      </c>
      <c r="R8" s="170" t="s">
        <v>1059</v>
      </c>
      <c r="S8" s="165" t="s">
        <v>1065</v>
      </c>
      <c r="U8" s="171" t="s">
        <v>1040</v>
      </c>
      <c r="V8" s="171" t="s">
        <v>1040</v>
      </c>
      <c r="W8" s="171" t="s">
        <v>1054</v>
      </c>
      <c r="Y8" s="170" t="s">
        <v>1054</v>
      </c>
      <c r="Z8" s="171" t="s">
        <v>1062</v>
      </c>
      <c r="AA8" s="170" t="s">
        <v>1083</v>
      </c>
      <c r="AB8" s="170" t="s">
        <v>122</v>
      </c>
      <c r="AC8" s="165" t="s">
        <v>1065</v>
      </c>
      <c r="AG8" s="44" t="s">
        <v>517</v>
      </c>
      <c r="AH8" t="s">
        <v>386</v>
      </c>
      <c r="AI8" t="s">
        <v>1040</v>
      </c>
      <c r="AJ8" t="s">
        <v>1040</v>
      </c>
      <c r="AK8" s="172" t="s">
        <v>1054</v>
      </c>
    </row>
    <row r="9" spans="3:38" ht="15" customHeight="1" x14ac:dyDescent="0.25">
      <c r="C9" s="50" t="s">
        <v>185</v>
      </c>
      <c r="J9" s="43" t="s">
        <v>59</v>
      </c>
      <c r="M9" t="s">
        <v>1027</v>
      </c>
      <c r="R9" s="170" t="s">
        <v>1059</v>
      </c>
      <c r="S9" s="165" t="s">
        <v>1068</v>
      </c>
      <c r="U9" s="171" t="s">
        <v>1053</v>
      </c>
      <c r="V9" s="171" t="s">
        <v>1055</v>
      </c>
      <c r="W9" s="171" t="s">
        <v>1056</v>
      </c>
      <c r="Z9" s="171" t="s">
        <v>1060</v>
      </c>
      <c r="AA9" s="170"/>
      <c r="AB9" s="170" t="s">
        <v>386</v>
      </c>
      <c r="AC9" s="165" t="s">
        <v>1068</v>
      </c>
      <c r="AG9" s="43" t="s">
        <v>470</v>
      </c>
      <c r="AH9" t="s">
        <v>386</v>
      </c>
      <c r="AI9" t="s">
        <v>1040</v>
      </c>
      <c r="AJ9" t="s">
        <v>1040</v>
      </c>
      <c r="AK9" s="172" t="s">
        <v>1054</v>
      </c>
    </row>
    <row r="10" spans="3:38" ht="15" customHeight="1" x14ac:dyDescent="0.25">
      <c r="C10" s="50" t="s">
        <v>236</v>
      </c>
      <c r="J10" s="43" t="s">
        <v>61</v>
      </c>
      <c r="M10" t="s">
        <v>1028</v>
      </c>
      <c r="R10" s="170" t="s">
        <v>1059</v>
      </c>
      <c r="S10" s="166" t="s">
        <v>1041</v>
      </c>
      <c r="U10" s="171" t="s">
        <v>1053</v>
      </c>
      <c r="V10" s="171" t="s">
        <v>1040</v>
      </c>
      <c r="W10" s="171" t="s">
        <v>1054</v>
      </c>
      <c r="Z10" s="171" t="s">
        <v>1081</v>
      </c>
      <c r="AB10" s="170" t="s">
        <v>1061</v>
      </c>
      <c r="AC10" s="166" t="s">
        <v>1041</v>
      </c>
      <c r="AG10" s="43" t="s">
        <v>467</v>
      </c>
      <c r="AH10" t="s">
        <v>386</v>
      </c>
      <c r="AI10" t="s">
        <v>1040</v>
      </c>
      <c r="AJ10" t="s">
        <v>1040</v>
      </c>
      <c r="AK10" s="172" t="s">
        <v>1054</v>
      </c>
    </row>
    <row r="11" spans="3:38" ht="15" customHeight="1" x14ac:dyDescent="0.25">
      <c r="C11" s="50" t="s">
        <v>186</v>
      </c>
      <c r="J11" s="43" t="s">
        <v>63</v>
      </c>
      <c r="M11" t="s">
        <v>1029</v>
      </c>
      <c r="R11" s="170" t="s">
        <v>98</v>
      </c>
      <c r="S11" s="166" t="s">
        <v>1041</v>
      </c>
      <c r="U11" s="171" t="s">
        <v>1040</v>
      </c>
      <c r="V11" s="171" t="s">
        <v>1040</v>
      </c>
      <c r="W11" s="171" t="s">
        <v>1054</v>
      </c>
      <c r="AC11" s="166" t="s">
        <v>1042</v>
      </c>
      <c r="AG11" s="43" t="s">
        <v>469</v>
      </c>
      <c r="AH11" t="s">
        <v>386</v>
      </c>
      <c r="AI11" t="s">
        <v>1040</v>
      </c>
      <c r="AJ11" t="s">
        <v>1040</v>
      </c>
      <c r="AK11" s="172" t="s">
        <v>1054</v>
      </c>
    </row>
    <row r="12" spans="3:38" ht="15" customHeight="1" x14ac:dyDescent="0.25">
      <c r="C12" s="50" t="s">
        <v>237</v>
      </c>
      <c r="J12" s="43" t="s">
        <v>65</v>
      </c>
      <c r="M12" t="s">
        <v>1030</v>
      </c>
      <c r="R12" s="170" t="s">
        <v>1059</v>
      </c>
      <c r="S12" s="166" t="s">
        <v>1042</v>
      </c>
      <c r="U12" s="171" t="s">
        <v>1053</v>
      </c>
      <c r="V12" s="171" t="s">
        <v>1040</v>
      </c>
      <c r="W12" s="171" t="s">
        <v>1054</v>
      </c>
      <c r="Z12" s="171" t="s">
        <v>1079</v>
      </c>
      <c r="AC12" s="166" t="s">
        <v>1043</v>
      </c>
      <c r="AG12" s="43" t="s">
        <v>465</v>
      </c>
      <c r="AH12" t="s">
        <v>386</v>
      </c>
      <c r="AI12" t="s">
        <v>1040</v>
      </c>
      <c r="AJ12" t="s">
        <v>1040</v>
      </c>
      <c r="AK12" s="172" t="s">
        <v>1054</v>
      </c>
    </row>
    <row r="13" spans="3:38" ht="15" customHeight="1" x14ac:dyDescent="0.25">
      <c r="C13" s="50" t="s">
        <v>238</v>
      </c>
      <c r="J13" s="50"/>
      <c r="M13" t="s">
        <v>1031</v>
      </c>
      <c r="R13" s="170" t="s">
        <v>1059</v>
      </c>
      <c r="S13" s="166" t="s">
        <v>1043</v>
      </c>
      <c r="U13" s="171" t="s">
        <v>1053</v>
      </c>
      <c r="V13" s="171" t="s">
        <v>1040</v>
      </c>
      <c r="W13" s="171" t="s">
        <v>1054</v>
      </c>
      <c r="Z13" s="171" t="s">
        <v>1080</v>
      </c>
      <c r="AC13" s="167" t="s">
        <v>1066</v>
      </c>
      <c r="AG13" s="43" t="s">
        <v>740</v>
      </c>
      <c r="AH13" t="s">
        <v>386</v>
      </c>
      <c r="AI13" t="s">
        <v>1040</v>
      </c>
      <c r="AJ13" t="s">
        <v>1040</v>
      </c>
      <c r="AK13" s="172" t="s">
        <v>1054</v>
      </c>
    </row>
    <row r="14" spans="3:38" ht="15" customHeight="1" x14ac:dyDescent="0.3">
      <c r="C14" s="59" t="s">
        <v>358</v>
      </c>
      <c r="J14" s="43" t="s">
        <v>67</v>
      </c>
      <c r="M14" t="s">
        <v>1032</v>
      </c>
      <c r="R14" s="170" t="s">
        <v>1059</v>
      </c>
      <c r="S14" s="166" t="s">
        <v>1043</v>
      </c>
      <c r="U14" s="171" t="s">
        <v>1062</v>
      </c>
      <c r="V14" s="171" t="s">
        <v>1040</v>
      </c>
      <c r="W14" s="171" t="s">
        <v>1054</v>
      </c>
      <c r="Z14" s="171" t="s">
        <v>1081</v>
      </c>
      <c r="AC14" s="167" t="s">
        <v>1069</v>
      </c>
      <c r="AG14" s="43" t="s">
        <v>742</v>
      </c>
      <c r="AH14" t="s">
        <v>386</v>
      </c>
      <c r="AI14" t="s">
        <v>1040</v>
      </c>
      <c r="AJ14" t="s">
        <v>1040</v>
      </c>
      <c r="AK14" s="172" t="s">
        <v>1054</v>
      </c>
    </row>
    <row r="15" spans="3:38" ht="15" customHeight="1" x14ac:dyDescent="0.3">
      <c r="C15" s="59" t="s">
        <v>104</v>
      </c>
      <c r="J15" s="43" t="s">
        <v>67</v>
      </c>
      <c r="M15" s="50" t="s">
        <v>1033</v>
      </c>
      <c r="R15" s="170" t="s">
        <v>98</v>
      </c>
      <c r="S15" s="166" t="s">
        <v>1043</v>
      </c>
      <c r="U15" s="171" t="s">
        <v>1040</v>
      </c>
      <c r="V15" s="171" t="s">
        <v>1040</v>
      </c>
      <c r="W15" s="171" t="s">
        <v>1054</v>
      </c>
      <c r="AC15" s="167" t="s">
        <v>1067</v>
      </c>
      <c r="AG15" s="43" t="s">
        <v>741</v>
      </c>
      <c r="AH15" t="s">
        <v>386</v>
      </c>
      <c r="AI15" t="s">
        <v>1040</v>
      </c>
      <c r="AJ15" t="s">
        <v>1040</v>
      </c>
      <c r="AK15" s="172" t="s">
        <v>1054</v>
      </c>
    </row>
    <row r="16" spans="3:38" ht="15" customHeight="1" x14ac:dyDescent="0.3">
      <c r="C16" s="59" t="s">
        <v>243</v>
      </c>
      <c r="J16" s="43" t="s">
        <v>67</v>
      </c>
      <c r="M16" s="44" t="s">
        <v>86</v>
      </c>
      <c r="R16" s="170" t="s">
        <v>1059</v>
      </c>
      <c r="S16" s="167" t="s">
        <v>1066</v>
      </c>
      <c r="U16" s="171" t="s">
        <v>1053</v>
      </c>
      <c r="V16" s="171" t="s">
        <v>1055</v>
      </c>
      <c r="W16" s="171" t="s">
        <v>1057</v>
      </c>
      <c r="AC16" s="167" t="s">
        <v>1070</v>
      </c>
      <c r="AG16" s="43" t="s">
        <v>743</v>
      </c>
      <c r="AH16" t="s">
        <v>386</v>
      </c>
      <c r="AI16" t="s">
        <v>1040</v>
      </c>
      <c r="AJ16" t="s">
        <v>1040</v>
      </c>
      <c r="AK16" s="172" t="s">
        <v>1054</v>
      </c>
    </row>
    <row r="17" spans="3:37" ht="15" customHeight="1" x14ac:dyDescent="0.3">
      <c r="C17" s="59" t="s">
        <v>363</v>
      </c>
      <c r="J17" s="50"/>
      <c r="M17" s="44" t="s">
        <v>87</v>
      </c>
      <c r="R17" s="170" t="s">
        <v>1059</v>
      </c>
      <c r="S17" s="167" t="s">
        <v>1069</v>
      </c>
      <c r="U17" s="171" t="s">
        <v>1053</v>
      </c>
      <c r="V17" s="171" t="s">
        <v>1055</v>
      </c>
      <c r="W17" s="171" t="s">
        <v>1057</v>
      </c>
      <c r="AC17" s="167" t="s">
        <v>1077</v>
      </c>
      <c r="AG17" s="43" t="s">
        <v>35</v>
      </c>
      <c r="AH17" t="s">
        <v>1059</v>
      </c>
      <c r="AI17" t="s">
        <v>1053</v>
      </c>
      <c r="AJ17" t="s">
        <v>1040</v>
      </c>
      <c r="AK17" s="172" t="s">
        <v>1054</v>
      </c>
    </row>
    <row r="18" spans="3:37" ht="15" customHeight="1" x14ac:dyDescent="0.3">
      <c r="C18" s="59" t="s">
        <v>310</v>
      </c>
      <c r="J18" s="50" t="s">
        <v>71</v>
      </c>
      <c r="R18" s="170" t="s">
        <v>1059</v>
      </c>
      <c r="S18" s="167" t="s">
        <v>1067</v>
      </c>
      <c r="T18" s="167"/>
      <c r="U18" s="171" t="s">
        <v>1053</v>
      </c>
      <c r="V18" s="171" t="s">
        <v>1058</v>
      </c>
      <c r="W18" s="171" t="s">
        <v>1057</v>
      </c>
      <c r="AC18" s="167" t="s">
        <v>1044</v>
      </c>
      <c r="AG18" s="50" t="s">
        <v>333</v>
      </c>
      <c r="AH18" t="s">
        <v>1059</v>
      </c>
      <c r="AI18" t="s">
        <v>1053</v>
      </c>
      <c r="AJ18" t="s">
        <v>1040</v>
      </c>
      <c r="AK18" s="172" t="s">
        <v>1054</v>
      </c>
    </row>
    <row r="19" spans="3:37" ht="15" customHeight="1" x14ac:dyDescent="0.3">
      <c r="C19" s="59" t="s">
        <v>124</v>
      </c>
      <c r="J19" s="50" t="s">
        <v>72</v>
      </c>
      <c r="R19" s="170" t="s">
        <v>98</v>
      </c>
      <c r="S19" s="167" t="s">
        <v>1067</v>
      </c>
      <c r="U19" s="171" t="s">
        <v>1040</v>
      </c>
      <c r="V19" s="171" t="s">
        <v>1040</v>
      </c>
      <c r="W19" s="171" t="s">
        <v>1054</v>
      </c>
      <c r="AC19" s="167" t="s">
        <v>1045</v>
      </c>
      <c r="AG19" s="43" t="s">
        <v>933</v>
      </c>
      <c r="AH19" t="s">
        <v>1059</v>
      </c>
      <c r="AI19" t="s">
        <v>1053</v>
      </c>
      <c r="AJ19" t="s">
        <v>1040</v>
      </c>
      <c r="AK19" s="172" t="s">
        <v>1054</v>
      </c>
    </row>
    <row r="20" spans="3:37" ht="15" customHeight="1" x14ac:dyDescent="0.3">
      <c r="C20" s="59" t="s">
        <v>872</v>
      </c>
      <c r="J20" s="50" t="s">
        <v>73</v>
      </c>
      <c r="R20" s="170" t="s">
        <v>1059</v>
      </c>
      <c r="S20" s="167" t="s">
        <v>1070</v>
      </c>
      <c r="U20" s="171" t="s">
        <v>1053</v>
      </c>
      <c r="V20" s="171" t="s">
        <v>1055</v>
      </c>
      <c r="W20" s="171" t="s">
        <v>1057</v>
      </c>
      <c r="AC20" s="167" t="s">
        <v>1046</v>
      </c>
      <c r="AG20" s="43" t="s">
        <v>226</v>
      </c>
      <c r="AH20" t="s">
        <v>1059</v>
      </c>
      <c r="AI20" t="s">
        <v>1053</v>
      </c>
      <c r="AJ20" t="s">
        <v>1040</v>
      </c>
      <c r="AK20" s="172" t="s">
        <v>1054</v>
      </c>
    </row>
    <row r="21" spans="3:37" ht="15" customHeight="1" x14ac:dyDescent="0.3">
      <c r="C21" s="59" t="s">
        <v>262</v>
      </c>
      <c r="J21" s="50" t="s">
        <v>74</v>
      </c>
      <c r="R21" s="170" t="s">
        <v>1059</v>
      </c>
      <c r="S21" s="167" t="s">
        <v>1077</v>
      </c>
      <c r="T21" s="167"/>
      <c r="U21" s="171" t="s">
        <v>1053</v>
      </c>
      <c r="V21" s="171" t="s">
        <v>1055</v>
      </c>
      <c r="W21" s="171" t="s">
        <v>1057</v>
      </c>
      <c r="AC21" s="167" t="s">
        <v>1076</v>
      </c>
      <c r="AG21" s="43" t="s">
        <v>569</v>
      </c>
      <c r="AH21" t="s">
        <v>1059</v>
      </c>
      <c r="AI21" t="s">
        <v>1053</v>
      </c>
      <c r="AJ21" t="s">
        <v>1040</v>
      </c>
      <c r="AK21" s="172" t="s">
        <v>1054</v>
      </c>
    </row>
    <row r="22" spans="3:37" ht="15" customHeight="1" x14ac:dyDescent="0.3">
      <c r="C22" s="59" t="s">
        <v>290</v>
      </c>
      <c r="J22" s="50" t="s">
        <v>75</v>
      </c>
      <c r="R22" s="170" t="s">
        <v>122</v>
      </c>
      <c r="S22" s="167" t="s">
        <v>1044</v>
      </c>
      <c r="U22" s="171" t="s">
        <v>1060</v>
      </c>
      <c r="V22" s="171" t="s">
        <v>1040</v>
      </c>
      <c r="W22" s="171" t="s">
        <v>1054</v>
      </c>
      <c r="AC22" s="167" t="s">
        <v>1047</v>
      </c>
      <c r="AG22" s="97" t="s">
        <v>657</v>
      </c>
      <c r="AH22" t="s">
        <v>1059</v>
      </c>
      <c r="AI22" t="s">
        <v>1053</v>
      </c>
      <c r="AJ22" t="s">
        <v>1040</v>
      </c>
      <c r="AK22" s="172" t="s">
        <v>1054</v>
      </c>
    </row>
    <row r="23" spans="3:37" ht="15" customHeight="1" x14ac:dyDescent="0.3">
      <c r="C23" s="59" t="s">
        <v>336</v>
      </c>
      <c r="J23" s="50"/>
      <c r="R23" s="170" t="s">
        <v>98</v>
      </c>
      <c r="S23" s="167" t="s">
        <v>1045</v>
      </c>
      <c r="U23" s="171" t="s">
        <v>1040</v>
      </c>
      <c r="V23" s="171" t="s">
        <v>1040</v>
      </c>
      <c r="W23" s="171" t="s">
        <v>1054</v>
      </c>
      <c r="AC23" s="167" t="s">
        <v>1048</v>
      </c>
      <c r="AG23" s="43" t="s">
        <v>350</v>
      </c>
      <c r="AH23" t="s">
        <v>1059</v>
      </c>
      <c r="AI23" t="s">
        <v>1053</v>
      </c>
      <c r="AJ23" t="s">
        <v>1040</v>
      </c>
      <c r="AK23" s="172" t="s">
        <v>1054</v>
      </c>
    </row>
    <row r="24" spans="3:37" ht="15" customHeight="1" x14ac:dyDescent="0.3">
      <c r="C24" s="59" t="s">
        <v>351</v>
      </c>
      <c r="J24" s="50" t="s">
        <v>76</v>
      </c>
      <c r="R24" s="170" t="s">
        <v>98</v>
      </c>
      <c r="S24" s="167" t="s">
        <v>1046</v>
      </c>
      <c r="U24" s="171" t="s">
        <v>1040</v>
      </c>
      <c r="V24" s="171" t="s">
        <v>1040</v>
      </c>
      <c r="W24" s="171" t="s">
        <v>1054</v>
      </c>
      <c r="AC24" s="167" t="s">
        <v>1071</v>
      </c>
      <c r="AG24" s="43" t="s">
        <v>706</v>
      </c>
      <c r="AH24" t="s">
        <v>1059</v>
      </c>
      <c r="AI24" t="s">
        <v>1053</v>
      </c>
      <c r="AJ24" t="s">
        <v>1040</v>
      </c>
      <c r="AK24" s="172" t="s">
        <v>1054</v>
      </c>
    </row>
    <row r="25" spans="3:37" ht="15" customHeight="1" x14ac:dyDescent="0.3">
      <c r="C25" s="59" t="s">
        <v>227</v>
      </c>
      <c r="J25" s="50" t="s">
        <v>78</v>
      </c>
      <c r="R25" s="170" t="s">
        <v>1059</v>
      </c>
      <c r="S25" s="167" t="s">
        <v>1076</v>
      </c>
      <c r="U25" s="171" t="s">
        <v>1040</v>
      </c>
      <c r="V25" s="171" t="s">
        <v>1040</v>
      </c>
      <c r="W25" s="171" t="s">
        <v>1054</v>
      </c>
      <c r="AC25" s="167" t="s">
        <v>1072</v>
      </c>
      <c r="AG25" s="43" t="s">
        <v>709</v>
      </c>
      <c r="AH25" t="s">
        <v>1059</v>
      </c>
      <c r="AI25" t="s">
        <v>1053</v>
      </c>
      <c r="AJ25" t="s">
        <v>1040</v>
      </c>
    </row>
    <row r="26" spans="3:37" ht="15" customHeight="1" x14ac:dyDescent="0.3">
      <c r="C26" s="59" t="s">
        <v>388</v>
      </c>
      <c r="J26" s="50" t="s">
        <v>80</v>
      </c>
      <c r="R26" t="s">
        <v>1059</v>
      </c>
      <c r="S26" s="167" t="s">
        <v>1047</v>
      </c>
      <c r="U26" s="171" t="s">
        <v>1053</v>
      </c>
      <c r="V26" s="171" t="s">
        <v>1055</v>
      </c>
      <c r="W26" s="171" t="s">
        <v>1057</v>
      </c>
      <c r="AC26" s="167" t="s">
        <v>1073</v>
      </c>
      <c r="AG26" s="43" t="s">
        <v>707</v>
      </c>
      <c r="AH26" t="s">
        <v>1059</v>
      </c>
      <c r="AI26" t="s">
        <v>1053</v>
      </c>
      <c r="AJ26" t="s">
        <v>1040</v>
      </c>
    </row>
    <row r="27" spans="3:37" ht="15" customHeight="1" x14ac:dyDescent="0.3">
      <c r="C27" s="59" t="s">
        <v>199</v>
      </c>
      <c r="J27" s="50" t="s">
        <v>82</v>
      </c>
      <c r="R27" s="170" t="s">
        <v>1059</v>
      </c>
      <c r="S27" s="167" t="s">
        <v>1048</v>
      </c>
      <c r="U27" s="171" t="s">
        <v>1053</v>
      </c>
      <c r="V27" s="171" t="s">
        <v>1055</v>
      </c>
      <c r="W27" s="171" t="s">
        <v>1057</v>
      </c>
      <c r="AC27" s="167" t="s">
        <v>1075</v>
      </c>
      <c r="AG27" s="43" t="s">
        <v>710</v>
      </c>
      <c r="AH27" t="s">
        <v>1059</v>
      </c>
      <c r="AI27" t="s">
        <v>1053</v>
      </c>
      <c r="AJ27" t="s">
        <v>1040</v>
      </c>
    </row>
    <row r="28" spans="3:37" ht="15" customHeight="1" x14ac:dyDescent="0.3">
      <c r="C28" s="59" t="s">
        <v>88</v>
      </c>
      <c r="J28" s="50" t="s">
        <v>84</v>
      </c>
      <c r="R28" s="170" t="s">
        <v>1059</v>
      </c>
      <c r="S28" s="167" t="s">
        <v>1071</v>
      </c>
      <c r="T28" s="167"/>
      <c r="U28" s="171" t="s">
        <v>1053</v>
      </c>
      <c r="V28" s="171" t="s">
        <v>1040</v>
      </c>
      <c r="W28" s="171" t="s">
        <v>1054</v>
      </c>
      <c r="AC28" s="167" t="s">
        <v>1074</v>
      </c>
      <c r="AG28" s="44" t="s">
        <v>398</v>
      </c>
      <c r="AH28" t="s">
        <v>1059</v>
      </c>
      <c r="AI28" t="s">
        <v>1053</v>
      </c>
      <c r="AJ28" t="s">
        <v>1040</v>
      </c>
    </row>
    <row r="29" spans="3:37" ht="15" customHeight="1" x14ac:dyDescent="0.3">
      <c r="C29" s="59" t="s">
        <v>375</v>
      </c>
      <c r="J29" s="43"/>
      <c r="R29" s="170" t="s">
        <v>122</v>
      </c>
      <c r="S29" s="167" t="s">
        <v>1071</v>
      </c>
      <c r="U29" s="171" t="s">
        <v>1040</v>
      </c>
      <c r="V29" s="171" t="s">
        <v>1040</v>
      </c>
      <c r="W29" s="171" t="s">
        <v>1054</v>
      </c>
      <c r="AC29" s="167" t="s">
        <v>1049</v>
      </c>
      <c r="AG29" s="43" t="s">
        <v>568</v>
      </c>
      <c r="AH29" t="s">
        <v>1059</v>
      </c>
      <c r="AI29" t="s">
        <v>1053</v>
      </c>
      <c r="AJ29" t="s">
        <v>1040</v>
      </c>
    </row>
    <row r="30" spans="3:37" ht="15" customHeight="1" x14ac:dyDescent="0.3">
      <c r="C30" s="59" t="s">
        <v>118</v>
      </c>
      <c r="J30" s="44" t="s">
        <v>86</v>
      </c>
      <c r="R30" s="170" t="s">
        <v>122</v>
      </c>
      <c r="S30" s="167" t="s">
        <v>1072</v>
      </c>
      <c r="U30" s="171" t="s">
        <v>1060</v>
      </c>
      <c r="V30" s="171" t="s">
        <v>1040</v>
      </c>
      <c r="W30" s="171" t="s">
        <v>1054</v>
      </c>
      <c r="AC30" s="167" t="s">
        <v>1050</v>
      </c>
      <c r="AG30" s="97" t="s">
        <v>656</v>
      </c>
      <c r="AH30" t="s">
        <v>1059</v>
      </c>
      <c r="AI30" t="s">
        <v>1053</v>
      </c>
      <c r="AJ30" t="s">
        <v>1040</v>
      </c>
    </row>
    <row r="31" spans="3:37" ht="15" customHeight="1" x14ac:dyDescent="0.3">
      <c r="C31" s="59" t="s">
        <v>750</v>
      </c>
      <c r="J31" s="44" t="s">
        <v>86</v>
      </c>
      <c r="R31" s="170" t="s">
        <v>98</v>
      </c>
      <c r="S31" s="167" t="s">
        <v>1072</v>
      </c>
      <c r="U31" s="171" t="s">
        <v>1060</v>
      </c>
      <c r="V31" s="171" t="s">
        <v>1040</v>
      </c>
      <c r="W31" s="171" t="s">
        <v>1054</v>
      </c>
      <c r="AC31" s="167" t="s">
        <v>1051</v>
      </c>
      <c r="AG31" s="43" t="s">
        <v>612</v>
      </c>
      <c r="AH31" t="s">
        <v>1059</v>
      </c>
      <c r="AI31" t="s">
        <v>1053</v>
      </c>
      <c r="AJ31" t="s">
        <v>1040</v>
      </c>
    </row>
    <row r="32" spans="3:37" ht="15" customHeight="1" x14ac:dyDescent="0.3">
      <c r="C32" s="59" t="s">
        <v>511</v>
      </c>
      <c r="J32" s="44" t="s">
        <v>86</v>
      </c>
      <c r="R32" s="170" t="s">
        <v>122</v>
      </c>
      <c r="S32" s="167" t="s">
        <v>1073</v>
      </c>
      <c r="U32" s="171" t="s">
        <v>1040</v>
      </c>
      <c r="V32" s="171" t="s">
        <v>1040</v>
      </c>
      <c r="W32" s="171" t="s">
        <v>1054</v>
      </c>
      <c r="AC32" s="167" t="s">
        <v>415</v>
      </c>
      <c r="AG32" s="44" t="s">
        <v>539</v>
      </c>
      <c r="AH32" t="s">
        <v>1059</v>
      </c>
      <c r="AI32" t="s">
        <v>1053</v>
      </c>
      <c r="AJ32" t="s">
        <v>1040</v>
      </c>
    </row>
    <row r="33" spans="3:36" ht="15" customHeight="1" x14ac:dyDescent="0.3">
      <c r="C33" s="59" t="s">
        <v>993</v>
      </c>
      <c r="J33" s="44" t="s">
        <v>86</v>
      </c>
      <c r="R33" s="170" t="s">
        <v>122</v>
      </c>
      <c r="S33" s="167" t="s">
        <v>1075</v>
      </c>
      <c r="U33" s="171" t="s">
        <v>1040</v>
      </c>
      <c r="V33" s="171" t="s">
        <v>1040</v>
      </c>
      <c r="W33" s="171" t="s">
        <v>1054</v>
      </c>
      <c r="AC33" s="167" t="s">
        <v>1078</v>
      </c>
      <c r="AG33" s="43" t="s">
        <v>860</v>
      </c>
      <c r="AH33" t="s">
        <v>1059</v>
      </c>
      <c r="AI33" t="s">
        <v>1053</v>
      </c>
      <c r="AJ33" t="s">
        <v>1040</v>
      </c>
    </row>
    <row r="34" spans="3:36" ht="15" customHeight="1" x14ac:dyDescent="0.3">
      <c r="C34" s="59" t="s">
        <v>998</v>
      </c>
      <c r="J34" s="44" t="s">
        <v>87</v>
      </c>
      <c r="R34" s="170" t="s">
        <v>1059</v>
      </c>
      <c r="S34" s="167" t="s">
        <v>1074</v>
      </c>
      <c r="U34" s="171" t="s">
        <v>1040</v>
      </c>
      <c r="V34" s="171" t="s">
        <v>1040</v>
      </c>
      <c r="W34" s="171" t="s">
        <v>1054</v>
      </c>
      <c r="AC34" s="168" t="s">
        <v>458</v>
      </c>
      <c r="AG34" s="50" t="s">
        <v>898</v>
      </c>
      <c r="AH34" t="s">
        <v>1059</v>
      </c>
      <c r="AI34" t="s">
        <v>1053</v>
      </c>
      <c r="AJ34" t="s">
        <v>1040</v>
      </c>
    </row>
    <row r="35" spans="3:36" ht="15" customHeight="1" x14ac:dyDescent="0.3">
      <c r="C35" s="59" t="s">
        <v>995</v>
      </c>
      <c r="R35" s="170" t="s">
        <v>1059</v>
      </c>
      <c r="S35" s="167" t="s">
        <v>1049</v>
      </c>
      <c r="U35" s="171" t="s">
        <v>1040</v>
      </c>
      <c r="V35" s="171" t="s">
        <v>1040</v>
      </c>
      <c r="W35" s="171" t="s">
        <v>1054</v>
      </c>
      <c r="AC35" s="168" t="s">
        <v>1052</v>
      </c>
      <c r="AG35" s="43" t="s">
        <v>320</v>
      </c>
      <c r="AH35" t="s">
        <v>1059</v>
      </c>
      <c r="AI35" t="s">
        <v>1053</v>
      </c>
      <c r="AJ35" t="s">
        <v>1040</v>
      </c>
    </row>
    <row r="36" spans="3:36" ht="15" customHeight="1" x14ac:dyDescent="0.3">
      <c r="C36" s="59" t="s">
        <v>974</v>
      </c>
      <c r="R36" s="170" t="s">
        <v>386</v>
      </c>
      <c r="S36" s="167" t="s">
        <v>1049</v>
      </c>
      <c r="U36" s="171" t="s">
        <v>1040</v>
      </c>
      <c r="V36" s="171" t="s">
        <v>1040</v>
      </c>
      <c r="W36" s="171" t="s">
        <v>1054</v>
      </c>
      <c r="AC36" s="173" t="s">
        <v>472</v>
      </c>
      <c r="AG36" s="50" t="s">
        <v>251</v>
      </c>
      <c r="AH36" t="s">
        <v>1059</v>
      </c>
      <c r="AI36" t="s">
        <v>1053</v>
      </c>
      <c r="AJ36" t="s">
        <v>1040</v>
      </c>
    </row>
    <row r="37" spans="3:36" ht="15" customHeight="1" x14ac:dyDescent="0.3">
      <c r="C37" s="59" t="s">
        <v>986</v>
      </c>
      <c r="R37" s="170" t="s">
        <v>1059</v>
      </c>
      <c r="S37" s="167" t="s">
        <v>1050</v>
      </c>
      <c r="U37" s="171" t="s">
        <v>1053</v>
      </c>
      <c r="V37" s="171" t="s">
        <v>1055</v>
      </c>
      <c r="W37" s="171" t="s">
        <v>1057</v>
      </c>
      <c r="AC37" s="168" t="s">
        <v>503</v>
      </c>
      <c r="AG37" s="50" t="s">
        <v>211</v>
      </c>
      <c r="AH37" t="s">
        <v>1059</v>
      </c>
      <c r="AI37" t="s">
        <v>1053</v>
      </c>
      <c r="AJ37" t="s">
        <v>1040</v>
      </c>
    </row>
    <row r="38" spans="3:36" ht="15" customHeight="1" x14ac:dyDescent="0.3">
      <c r="C38" s="59"/>
      <c r="R38" s="170" t="s">
        <v>98</v>
      </c>
      <c r="S38" s="167" t="s">
        <v>1050</v>
      </c>
      <c r="U38" s="171" t="s">
        <v>1040</v>
      </c>
      <c r="V38" s="171" t="s">
        <v>1040</v>
      </c>
      <c r="W38" s="171" t="s">
        <v>1054</v>
      </c>
      <c r="AC38" s="168" t="s">
        <v>512</v>
      </c>
      <c r="AG38" s="43" t="s">
        <v>329</v>
      </c>
      <c r="AH38" t="s">
        <v>1059</v>
      </c>
      <c r="AI38" t="s">
        <v>1053</v>
      </c>
      <c r="AJ38" t="s">
        <v>1040</v>
      </c>
    </row>
    <row r="39" spans="3:36" ht="15" customHeight="1" x14ac:dyDescent="0.3">
      <c r="C39" s="59" t="s">
        <v>1000</v>
      </c>
      <c r="R39" s="170" t="s">
        <v>1059</v>
      </c>
      <c r="S39" s="167" t="s">
        <v>1051</v>
      </c>
      <c r="U39" s="171" t="s">
        <v>1053</v>
      </c>
      <c r="V39" s="171" t="s">
        <v>1055</v>
      </c>
      <c r="W39" s="171" t="s">
        <v>1057</v>
      </c>
      <c r="AC39" s="168" t="s">
        <v>516</v>
      </c>
      <c r="AG39" s="43" t="s">
        <v>258</v>
      </c>
      <c r="AH39" t="s">
        <v>1059</v>
      </c>
      <c r="AI39" t="s">
        <v>1053</v>
      </c>
      <c r="AJ39" t="s">
        <v>1040</v>
      </c>
    </row>
    <row r="40" spans="3:36" ht="15" customHeight="1" x14ac:dyDescent="0.3">
      <c r="C40" s="59"/>
      <c r="R40" s="170" t="s">
        <v>98</v>
      </c>
      <c r="S40" s="167" t="s">
        <v>1051</v>
      </c>
      <c r="U40" s="171" t="s">
        <v>1040</v>
      </c>
      <c r="V40" s="171" t="s">
        <v>1040</v>
      </c>
      <c r="W40" s="171" t="s">
        <v>1054</v>
      </c>
      <c r="AC40" s="168" t="s">
        <v>518</v>
      </c>
      <c r="AG40" s="43" t="s">
        <v>222</v>
      </c>
      <c r="AH40" t="s">
        <v>1059</v>
      </c>
      <c r="AI40" t="s">
        <v>1053</v>
      </c>
      <c r="AJ40" t="s">
        <v>1040</v>
      </c>
    </row>
    <row r="41" spans="3:36" ht="15" customHeight="1" x14ac:dyDescent="0.3">
      <c r="C41" s="59" t="s">
        <v>515</v>
      </c>
      <c r="R41" s="170" t="s">
        <v>1061</v>
      </c>
      <c r="S41" s="167" t="s">
        <v>415</v>
      </c>
      <c r="U41" s="171" t="s">
        <v>1040</v>
      </c>
      <c r="V41" s="171" t="s">
        <v>1061</v>
      </c>
      <c r="W41" s="171" t="s">
        <v>1056</v>
      </c>
      <c r="AC41" s="168" t="s">
        <v>521</v>
      </c>
      <c r="AG41" s="50" t="s">
        <v>274</v>
      </c>
      <c r="AH41" t="s">
        <v>1059</v>
      </c>
      <c r="AI41" t="s">
        <v>1053</v>
      </c>
      <c r="AJ41" t="s">
        <v>1040</v>
      </c>
    </row>
    <row r="42" spans="3:36" ht="15" customHeight="1" x14ac:dyDescent="0.3">
      <c r="C42" s="59" t="s">
        <v>526</v>
      </c>
      <c r="R42" s="170" t="s">
        <v>1059</v>
      </c>
      <c r="S42" s="167" t="s">
        <v>1078</v>
      </c>
      <c r="T42" s="167"/>
      <c r="U42" s="171" t="s">
        <v>1053</v>
      </c>
      <c r="V42" s="171" t="s">
        <v>1055</v>
      </c>
      <c r="W42" s="171" t="s">
        <v>1057</v>
      </c>
      <c r="AC42" s="168" t="s">
        <v>527</v>
      </c>
      <c r="AG42" s="43" t="s">
        <v>286</v>
      </c>
      <c r="AH42" t="s">
        <v>1059</v>
      </c>
      <c r="AI42" t="s">
        <v>1053</v>
      </c>
      <c r="AJ42" t="s">
        <v>1040</v>
      </c>
    </row>
    <row r="43" spans="3:36" ht="15" customHeight="1" x14ac:dyDescent="0.3">
      <c r="C43" s="59" t="s">
        <v>502</v>
      </c>
      <c r="R43" s="170" t="s">
        <v>98</v>
      </c>
      <c r="S43" s="167" t="s">
        <v>1078</v>
      </c>
      <c r="T43" s="167"/>
      <c r="U43" s="171" t="s">
        <v>1040</v>
      </c>
      <c r="V43" s="171" t="s">
        <v>1040</v>
      </c>
      <c r="W43" s="171" t="s">
        <v>1054</v>
      </c>
      <c r="AC43" s="168" t="s">
        <v>528</v>
      </c>
      <c r="AG43" s="43" t="s">
        <v>927</v>
      </c>
      <c r="AH43" t="s">
        <v>1059</v>
      </c>
      <c r="AI43" t="s">
        <v>1053</v>
      </c>
      <c r="AJ43" t="s">
        <v>1040</v>
      </c>
    </row>
    <row r="44" spans="3:36" ht="15" customHeight="1" x14ac:dyDescent="0.3">
      <c r="C44" s="59"/>
      <c r="R44" s="170" t="s">
        <v>1059</v>
      </c>
      <c r="S44" s="168" t="s">
        <v>458</v>
      </c>
      <c r="U44" s="171" t="s">
        <v>1040</v>
      </c>
      <c r="V44" s="171" t="s">
        <v>1040</v>
      </c>
      <c r="W44" s="171" t="s">
        <v>1054</v>
      </c>
      <c r="AC44" s="168" t="s">
        <v>531</v>
      </c>
      <c r="AG44" s="50" t="s">
        <v>904</v>
      </c>
      <c r="AH44" t="s">
        <v>1059</v>
      </c>
      <c r="AI44" t="s">
        <v>1053</v>
      </c>
      <c r="AJ44" t="s">
        <v>1040</v>
      </c>
    </row>
    <row r="45" spans="3:36" ht="15" customHeight="1" x14ac:dyDescent="0.3">
      <c r="C45" s="59" t="s">
        <v>530</v>
      </c>
      <c r="R45" s="170" t="s">
        <v>386</v>
      </c>
      <c r="S45" s="168" t="s">
        <v>1052</v>
      </c>
      <c r="U45" s="171" t="s">
        <v>1040</v>
      </c>
      <c r="V45" s="171" t="s">
        <v>1040</v>
      </c>
      <c r="W45" s="171" t="s">
        <v>1054</v>
      </c>
      <c r="AG45" s="43" t="s">
        <v>319</v>
      </c>
      <c r="AH45" t="s">
        <v>1059</v>
      </c>
      <c r="AI45" t="s">
        <v>1053</v>
      </c>
      <c r="AJ45" t="s">
        <v>1040</v>
      </c>
    </row>
    <row r="46" spans="3:36" ht="15" customHeight="1" x14ac:dyDescent="0.3">
      <c r="C46" s="59" t="s">
        <v>463</v>
      </c>
      <c r="R46" s="170" t="s">
        <v>1059</v>
      </c>
      <c r="S46" s="173" t="s">
        <v>472</v>
      </c>
      <c r="U46" s="171" t="s">
        <v>1040</v>
      </c>
      <c r="V46" s="171" t="s">
        <v>1040</v>
      </c>
      <c r="W46" s="171" t="s">
        <v>1054</v>
      </c>
      <c r="AG46" s="50" t="s">
        <v>250</v>
      </c>
      <c r="AH46" t="s">
        <v>1059</v>
      </c>
      <c r="AI46" t="s">
        <v>1053</v>
      </c>
      <c r="AJ46" t="s">
        <v>1040</v>
      </c>
    </row>
    <row r="47" spans="3:36" ht="15" customHeight="1" x14ac:dyDescent="0.3">
      <c r="C47" s="59" t="s">
        <v>745</v>
      </c>
      <c r="R47" s="170" t="s">
        <v>1059</v>
      </c>
      <c r="S47" s="173" t="s">
        <v>472</v>
      </c>
      <c r="U47" s="171" t="s">
        <v>1053</v>
      </c>
      <c r="V47" s="171" t="s">
        <v>1040</v>
      </c>
      <c r="W47" s="171" t="s">
        <v>1054</v>
      </c>
      <c r="AG47" s="50" t="s">
        <v>210</v>
      </c>
      <c r="AH47" t="s">
        <v>1059</v>
      </c>
      <c r="AI47" t="s">
        <v>1053</v>
      </c>
      <c r="AJ47" t="s">
        <v>1040</v>
      </c>
    </row>
    <row r="48" spans="3:36" ht="15" customHeight="1" x14ac:dyDescent="0.3">
      <c r="C48" s="59" t="s">
        <v>471</v>
      </c>
      <c r="R48" s="170" t="s">
        <v>1059</v>
      </c>
      <c r="S48" s="173" t="s">
        <v>472</v>
      </c>
      <c r="U48" s="171" t="s">
        <v>1062</v>
      </c>
      <c r="V48" s="171" t="s">
        <v>1040</v>
      </c>
      <c r="W48" s="171" t="s">
        <v>1054</v>
      </c>
      <c r="AG48" s="43" t="s">
        <v>328</v>
      </c>
      <c r="AH48" t="s">
        <v>1059</v>
      </c>
      <c r="AI48" t="s">
        <v>1053</v>
      </c>
      <c r="AJ48" t="s">
        <v>1040</v>
      </c>
    </row>
    <row r="49" spans="3:36" ht="15" customHeight="1" x14ac:dyDescent="0.25">
      <c r="C49" s="43" t="s">
        <v>386</v>
      </c>
      <c r="R49" s="170" t="s">
        <v>1059</v>
      </c>
      <c r="S49" s="168" t="s">
        <v>503</v>
      </c>
      <c r="U49" s="171" t="s">
        <v>1040</v>
      </c>
      <c r="V49" s="171" t="s">
        <v>1040</v>
      </c>
      <c r="W49" s="171" t="s">
        <v>1054</v>
      </c>
      <c r="AG49" s="43" t="s">
        <v>257</v>
      </c>
      <c r="AH49" t="s">
        <v>1059</v>
      </c>
      <c r="AI49" t="s">
        <v>1053</v>
      </c>
      <c r="AJ49" t="s">
        <v>1040</v>
      </c>
    </row>
    <row r="50" spans="3:36" ht="15" customHeight="1" x14ac:dyDescent="0.25">
      <c r="C50" s="44" t="s">
        <v>517</v>
      </c>
      <c r="R50" s="170" t="s">
        <v>1059</v>
      </c>
      <c r="S50" s="168" t="s">
        <v>503</v>
      </c>
      <c r="U50" s="171" t="s">
        <v>1062</v>
      </c>
      <c r="V50" s="171" t="s">
        <v>1040</v>
      </c>
      <c r="W50" s="171" t="s">
        <v>1054</v>
      </c>
      <c r="AG50" s="43" t="s">
        <v>221</v>
      </c>
      <c r="AH50" t="s">
        <v>1059</v>
      </c>
      <c r="AI50" t="s">
        <v>1053</v>
      </c>
      <c r="AJ50" t="s">
        <v>1040</v>
      </c>
    </row>
    <row r="51" spans="3:36" ht="15" customHeight="1" x14ac:dyDescent="0.25">
      <c r="C51" s="43" t="s">
        <v>470</v>
      </c>
      <c r="R51" s="170" t="s">
        <v>122</v>
      </c>
      <c r="S51" s="168" t="s">
        <v>512</v>
      </c>
      <c r="U51" s="171" t="s">
        <v>1040</v>
      </c>
      <c r="V51" s="171" t="s">
        <v>1040</v>
      </c>
      <c r="W51" s="171" t="s">
        <v>1054</v>
      </c>
      <c r="AG51" s="50" t="s">
        <v>273</v>
      </c>
      <c r="AH51" t="s">
        <v>1059</v>
      </c>
      <c r="AI51" t="s">
        <v>1053</v>
      </c>
      <c r="AJ51" t="s">
        <v>1040</v>
      </c>
    </row>
    <row r="52" spans="3:36" ht="15" customHeight="1" x14ac:dyDescent="0.25">
      <c r="C52" s="43" t="s">
        <v>467</v>
      </c>
      <c r="R52" s="170" t="s">
        <v>1059</v>
      </c>
      <c r="S52" s="168" t="s">
        <v>512</v>
      </c>
      <c r="T52" s="171"/>
      <c r="U52" s="171" t="s">
        <v>1040</v>
      </c>
      <c r="V52" s="171" t="s">
        <v>1040</v>
      </c>
      <c r="W52" s="171" t="s">
        <v>1054</v>
      </c>
      <c r="AG52" s="43" t="s">
        <v>285</v>
      </c>
      <c r="AH52" t="s">
        <v>1059</v>
      </c>
      <c r="AI52" t="s">
        <v>1053</v>
      </c>
      <c r="AJ52" t="s">
        <v>1040</v>
      </c>
    </row>
    <row r="53" spans="3:36" ht="15" customHeight="1" x14ac:dyDescent="0.25">
      <c r="C53" s="43" t="s">
        <v>469</v>
      </c>
      <c r="R53" s="170" t="s">
        <v>1059</v>
      </c>
      <c r="S53" s="168" t="s">
        <v>516</v>
      </c>
      <c r="U53" s="171" t="s">
        <v>1040</v>
      </c>
      <c r="V53" s="171" t="s">
        <v>1040</v>
      </c>
      <c r="W53" s="171" t="s">
        <v>1054</v>
      </c>
      <c r="AG53" s="43" t="s">
        <v>854</v>
      </c>
      <c r="AH53" t="s">
        <v>1059</v>
      </c>
      <c r="AI53" t="s">
        <v>1053</v>
      </c>
      <c r="AJ53" t="s">
        <v>1040</v>
      </c>
    </row>
    <row r="54" spans="3:36" ht="15" customHeight="1" x14ac:dyDescent="0.25">
      <c r="C54" s="43" t="s">
        <v>465</v>
      </c>
      <c r="R54" s="170" t="s">
        <v>386</v>
      </c>
      <c r="S54" s="168" t="s">
        <v>516</v>
      </c>
      <c r="U54" s="171" t="s">
        <v>1040</v>
      </c>
      <c r="V54" s="171" t="s">
        <v>1040</v>
      </c>
      <c r="W54" s="171" t="s">
        <v>1054</v>
      </c>
      <c r="AG54" s="43" t="s">
        <v>928</v>
      </c>
      <c r="AH54" t="s">
        <v>1059</v>
      </c>
      <c r="AI54" t="s">
        <v>1053</v>
      </c>
      <c r="AJ54" t="s">
        <v>1040</v>
      </c>
    </row>
    <row r="55" spans="3:36" ht="15" customHeight="1" x14ac:dyDescent="0.25">
      <c r="C55" s="43" t="s">
        <v>740</v>
      </c>
      <c r="R55" s="170" t="s">
        <v>1059</v>
      </c>
      <c r="S55" s="168" t="s">
        <v>518</v>
      </c>
      <c r="U55" s="171" t="s">
        <v>1040</v>
      </c>
      <c r="V55" s="171" t="s">
        <v>1040</v>
      </c>
      <c r="W55" s="171" t="s">
        <v>1054</v>
      </c>
      <c r="AG55" s="50" t="s">
        <v>897</v>
      </c>
      <c r="AH55" t="s">
        <v>1059</v>
      </c>
      <c r="AI55" t="s">
        <v>1053</v>
      </c>
      <c r="AJ55" t="s">
        <v>1040</v>
      </c>
    </row>
    <row r="56" spans="3:36" ht="15" customHeight="1" x14ac:dyDescent="0.25">
      <c r="C56" s="43" t="s">
        <v>742</v>
      </c>
      <c r="R56" s="170" t="s">
        <v>1059</v>
      </c>
      <c r="S56" s="168" t="s">
        <v>518</v>
      </c>
      <c r="U56" s="171" t="s">
        <v>1053</v>
      </c>
      <c r="V56" s="171" t="s">
        <v>1040</v>
      </c>
      <c r="W56" s="171" t="s">
        <v>1054</v>
      </c>
      <c r="AG56" s="43" t="s">
        <v>318</v>
      </c>
      <c r="AH56" t="s">
        <v>1059</v>
      </c>
      <c r="AI56" t="s">
        <v>1053</v>
      </c>
      <c r="AJ56" t="s">
        <v>1040</v>
      </c>
    </row>
    <row r="57" spans="3:36" ht="15" customHeight="1" x14ac:dyDescent="0.25">
      <c r="C57" s="43" t="s">
        <v>741</v>
      </c>
      <c r="R57" s="170" t="s">
        <v>122</v>
      </c>
      <c r="S57" s="168" t="s">
        <v>521</v>
      </c>
      <c r="U57" s="171" t="s">
        <v>1040</v>
      </c>
      <c r="V57" s="171" t="s">
        <v>1040</v>
      </c>
      <c r="W57" s="171" t="s">
        <v>1054</v>
      </c>
      <c r="AG57" s="50" t="s">
        <v>249</v>
      </c>
      <c r="AH57" t="s">
        <v>1059</v>
      </c>
      <c r="AI57" t="s">
        <v>1053</v>
      </c>
      <c r="AJ57" t="s">
        <v>1040</v>
      </c>
    </row>
    <row r="58" spans="3:36" ht="15" customHeight="1" x14ac:dyDescent="0.25">
      <c r="C58" s="43" t="s">
        <v>743</v>
      </c>
      <c r="R58" s="170" t="s">
        <v>1059</v>
      </c>
      <c r="S58" s="168" t="s">
        <v>521</v>
      </c>
      <c r="U58" s="171" t="s">
        <v>1040</v>
      </c>
      <c r="V58" s="171" t="s">
        <v>1040</v>
      </c>
      <c r="W58" s="171" t="s">
        <v>1054</v>
      </c>
      <c r="AG58" s="50" t="s">
        <v>209</v>
      </c>
      <c r="AH58" t="s">
        <v>1059</v>
      </c>
      <c r="AI58" t="s">
        <v>1053</v>
      </c>
      <c r="AJ58" t="s">
        <v>1040</v>
      </c>
    </row>
    <row r="59" spans="3:36" ht="15" customHeight="1" x14ac:dyDescent="0.25">
      <c r="C59" s="43" t="s">
        <v>35</v>
      </c>
      <c r="R59" s="170" t="s">
        <v>1059</v>
      </c>
      <c r="S59" s="168" t="s">
        <v>521</v>
      </c>
      <c r="U59" s="171" t="s">
        <v>1062</v>
      </c>
      <c r="V59" s="171" t="s">
        <v>1040</v>
      </c>
      <c r="W59" s="171" t="s">
        <v>1054</v>
      </c>
      <c r="AG59" s="43" t="s">
        <v>327</v>
      </c>
      <c r="AH59" t="s">
        <v>1059</v>
      </c>
      <c r="AI59" t="s">
        <v>1053</v>
      </c>
      <c r="AJ59" t="s">
        <v>1040</v>
      </c>
    </row>
    <row r="60" spans="3:36" ht="15" customHeight="1" x14ac:dyDescent="0.25">
      <c r="C60" s="50" t="s">
        <v>333</v>
      </c>
      <c r="R60" s="170" t="s">
        <v>98</v>
      </c>
      <c r="S60" s="168" t="s">
        <v>521</v>
      </c>
      <c r="U60" s="171" t="s">
        <v>1040</v>
      </c>
      <c r="V60" s="171" t="s">
        <v>1040</v>
      </c>
      <c r="W60" s="171" t="s">
        <v>1054</v>
      </c>
      <c r="AG60" s="43" t="s">
        <v>256</v>
      </c>
      <c r="AH60" t="s">
        <v>1059</v>
      </c>
      <c r="AI60" t="s">
        <v>1053</v>
      </c>
      <c r="AJ60" t="s">
        <v>1040</v>
      </c>
    </row>
    <row r="61" spans="3:36" ht="15" customHeight="1" x14ac:dyDescent="0.25">
      <c r="C61" s="43" t="s">
        <v>933</v>
      </c>
      <c r="R61" s="170" t="s">
        <v>1059</v>
      </c>
      <c r="S61" s="168" t="s">
        <v>527</v>
      </c>
      <c r="U61" s="171" t="s">
        <v>1040</v>
      </c>
      <c r="V61" s="171" t="s">
        <v>1040</v>
      </c>
      <c r="W61" s="171" t="s">
        <v>1054</v>
      </c>
      <c r="AG61" s="43" t="s">
        <v>220</v>
      </c>
      <c r="AH61" t="s">
        <v>1059</v>
      </c>
      <c r="AI61" t="s">
        <v>1053</v>
      </c>
      <c r="AJ61" t="s">
        <v>1040</v>
      </c>
    </row>
    <row r="62" spans="3:36" ht="15" customHeight="1" x14ac:dyDescent="0.25">
      <c r="C62" s="43" t="s">
        <v>226</v>
      </c>
      <c r="R62" s="170" t="s">
        <v>122</v>
      </c>
      <c r="S62" s="168" t="s">
        <v>527</v>
      </c>
      <c r="U62" s="171" t="s">
        <v>1040</v>
      </c>
      <c r="V62" s="171" t="s">
        <v>1040</v>
      </c>
      <c r="W62" s="171" t="s">
        <v>1054</v>
      </c>
      <c r="AG62" s="50" t="s">
        <v>272</v>
      </c>
      <c r="AH62" t="s">
        <v>1059</v>
      </c>
      <c r="AI62" t="s">
        <v>1053</v>
      </c>
      <c r="AJ62" t="s">
        <v>1040</v>
      </c>
    </row>
    <row r="63" spans="3:36" ht="15" customHeight="1" x14ac:dyDescent="0.25">
      <c r="C63" s="43" t="s">
        <v>569</v>
      </c>
      <c r="R63" s="170" t="s">
        <v>122</v>
      </c>
      <c r="S63" s="168" t="s">
        <v>528</v>
      </c>
      <c r="U63" s="171" t="s">
        <v>1040</v>
      </c>
      <c r="V63" s="171" t="s">
        <v>1040</v>
      </c>
      <c r="W63" s="171" t="s">
        <v>1054</v>
      </c>
      <c r="AG63" s="43" t="s">
        <v>284</v>
      </c>
      <c r="AH63" t="s">
        <v>1059</v>
      </c>
      <c r="AI63" t="s">
        <v>1053</v>
      </c>
      <c r="AJ63" t="s">
        <v>1040</v>
      </c>
    </row>
    <row r="64" spans="3:36" ht="15" customHeight="1" x14ac:dyDescent="0.25">
      <c r="C64" s="97" t="s">
        <v>657</v>
      </c>
      <c r="R64" s="170" t="s">
        <v>1059</v>
      </c>
      <c r="S64" s="168" t="s">
        <v>528</v>
      </c>
      <c r="U64" s="171" t="s">
        <v>1040</v>
      </c>
      <c r="V64" s="171" t="s">
        <v>1040</v>
      </c>
      <c r="W64" s="171" t="s">
        <v>1054</v>
      </c>
      <c r="AG64" s="44" t="s">
        <v>438</v>
      </c>
      <c r="AH64" t="s">
        <v>1059</v>
      </c>
      <c r="AI64" t="s">
        <v>1053</v>
      </c>
      <c r="AJ64" t="s">
        <v>1040</v>
      </c>
    </row>
    <row r="65" spans="3:36" ht="15" customHeight="1" x14ac:dyDescent="0.25">
      <c r="C65" s="43" t="s">
        <v>350</v>
      </c>
      <c r="R65" s="170" t="s">
        <v>1059</v>
      </c>
      <c r="S65" s="168" t="s">
        <v>528</v>
      </c>
      <c r="U65" s="171" t="s">
        <v>1062</v>
      </c>
      <c r="V65" s="171" t="s">
        <v>1040</v>
      </c>
      <c r="W65" s="171" t="s">
        <v>1054</v>
      </c>
      <c r="AG65" s="44" t="s">
        <v>437</v>
      </c>
      <c r="AH65" t="s">
        <v>1059</v>
      </c>
      <c r="AI65" t="s">
        <v>1053</v>
      </c>
      <c r="AJ65" t="s">
        <v>1040</v>
      </c>
    </row>
    <row r="66" spans="3:36" ht="15" customHeight="1" x14ac:dyDescent="0.25">
      <c r="C66" s="43" t="s">
        <v>706</v>
      </c>
      <c r="R66" s="170" t="s">
        <v>98</v>
      </c>
      <c r="S66" s="168" t="s">
        <v>528</v>
      </c>
      <c r="U66" s="171" t="s">
        <v>1040</v>
      </c>
      <c r="V66" s="171" t="s">
        <v>1040</v>
      </c>
      <c r="W66" s="171" t="s">
        <v>1054</v>
      </c>
      <c r="AG66" s="43" t="s">
        <v>855</v>
      </c>
      <c r="AH66" t="s">
        <v>1059</v>
      </c>
      <c r="AI66" t="s">
        <v>1053</v>
      </c>
      <c r="AJ66" t="s">
        <v>1040</v>
      </c>
    </row>
    <row r="67" spans="3:36" ht="15" customHeight="1" x14ac:dyDescent="0.25">
      <c r="C67" s="43" t="s">
        <v>709</v>
      </c>
      <c r="R67" s="170" t="s">
        <v>1059</v>
      </c>
      <c r="S67" s="168" t="s">
        <v>531</v>
      </c>
      <c r="U67" s="171" t="s">
        <v>1053</v>
      </c>
      <c r="V67" s="171" t="s">
        <v>1040</v>
      </c>
      <c r="W67" s="171" t="s">
        <v>1054</v>
      </c>
      <c r="AG67" s="43" t="s">
        <v>929</v>
      </c>
      <c r="AH67" t="s">
        <v>1059</v>
      </c>
      <c r="AI67" t="s">
        <v>1053</v>
      </c>
      <c r="AJ67" t="s">
        <v>1040</v>
      </c>
    </row>
    <row r="68" spans="3:36" ht="15" customHeight="1" x14ac:dyDescent="0.25">
      <c r="C68" s="43" t="s">
        <v>707</v>
      </c>
      <c r="R68" s="170" t="s">
        <v>98</v>
      </c>
      <c r="S68" s="168" t="s">
        <v>531</v>
      </c>
      <c r="U68" s="171" t="s">
        <v>1040</v>
      </c>
      <c r="V68" s="171" t="s">
        <v>1040</v>
      </c>
      <c r="W68" s="171" t="s">
        <v>1054</v>
      </c>
      <c r="AG68" s="50" t="s">
        <v>903</v>
      </c>
      <c r="AH68" t="s">
        <v>1059</v>
      </c>
      <c r="AI68" t="s">
        <v>1053</v>
      </c>
      <c r="AJ68" t="s">
        <v>1040</v>
      </c>
    </row>
    <row r="69" spans="3:36" ht="15" customHeight="1" x14ac:dyDescent="0.25">
      <c r="C69" s="43"/>
      <c r="R69" s="170"/>
      <c r="S69" s="168"/>
      <c r="U69" s="171"/>
      <c r="V69" s="171"/>
      <c r="W69" s="171"/>
      <c r="AG69" s="43" t="s">
        <v>856</v>
      </c>
      <c r="AH69" t="s">
        <v>1059</v>
      </c>
      <c r="AI69" t="s">
        <v>1053</v>
      </c>
      <c r="AJ69" t="s">
        <v>1040</v>
      </c>
    </row>
    <row r="70" spans="3:36" ht="15" customHeight="1" x14ac:dyDescent="0.25">
      <c r="C70" s="43"/>
      <c r="R70" s="170"/>
      <c r="S70" s="168"/>
      <c r="U70" s="171"/>
      <c r="V70" s="171"/>
      <c r="W70" s="171"/>
      <c r="AG70" s="43" t="s">
        <v>857</v>
      </c>
      <c r="AH70" t="s">
        <v>1059</v>
      </c>
      <c r="AI70" t="s">
        <v>1053</v>
      </c>
      <c r="AJ70" t="s">
        <v>1040</v>
      </c>
    </row>
    <row r="71" spans="3:36" ht="15" customHeight="1" x14ac:dyDescent="0.25">
      <c r="C71" s="43" t="s">
        <v>710</v>
      </c>
      <c r="S71" s="168" t="s">
        <v>731</v>
      </c>
      <c r="AG71" s="50" t="s">
        <v>902</v>
      </c>
      <c r="AH71" t="s">
        <v>1059</v>
      </c>
      <c r="AI71" t="s">
        <v>1053</v>
      </c>
      <c r="AJ71" t="s">
        <v>1040</v>
      </c>
    </row>
    <row r="72" spans="3:36" ht="15" customHeight="1" x14ac:dyDescent="0.25">
      <c r="C72" s="44" t="s">
        <v>398</v>
      </c>
      <c r="S72" s="168" t="s">
        <v>735</v>
      </c>
      <c r="AG72" s="43" t="s">
        <v>858</v>
      </c>
      <c r="AH72" t="s">
        <v>1059</v>
      </c>
      <c r="AI72" t="s">
        <v>1053</v>
      </c>
      <c r="AJ72" t="s">
        <v>1040</v>
      </c>
    </row>
    <row r="73" spans="3:36" ht="15" customHeight="1" x14ac:dyDescent="0.25">
      <c r="C73" s="43" t="s">
        <v>568</v>
      </c>
      <c r="S73" s="168" t="s">
        <v>739</v>
      </c>
      <c r="AG73" s="50" t="s">
        <v>901</v>
      </c>
      <c r="AH73" t="s">
        <v>1059</v>
      </c>
      <c r="AI73" t="s">
        <v>1053</v>
      </c>
      <c r="AJ73" t="s">
        <v>1040</v>
      </c>
    </row>
    <row r="74" spans="3:36" ht="15" customHeight="1" x14ac:dyDescent="0.25">
      <c r="C74" s="97" t="s">
        <v>656</v>
      </c>
      <c r="S74" s="168" t="s">
        <v>744</v>
      </c>
      <c r="AG74" s="50" t="s">
        <v>900</v>
      </c>
      <c r="AH74" t="s">
        <v>1059</v>
      </c>
      <c r="AI74" t="s">
        <v>1053</v>
      </c>
      <c r="AJ74" t="s">
        <v>1040</v>
      </c>
    </row>
    <row r="75" spans="3:36" ht="15" customHeight="1" x14ac:dyDescent="0.25">
      <c r="C75" s="43" t="s">
        <v>612</v>
      </c>
      <c r="S75" s="168" t="s">
        <v>746</v>
      </c>
      <c r="AG75" s="43" t="s">
        <v>567</v>
      </c>
      <c r="AH75" t="s">
        <v>1059</v>
      </c>
      <c r="AI75" t="s">
        <v>1053</v>
      </c>
      <c r="AJ75" t="s">
        <v>1040</v>
      </c>
    </row>
    <row r="76" spans="3:36" ht="15" customHeight="1" x14ac:dyDescent="0.25">
      <c r="C76" s="44" t="s">
        <v>501</v>
      </c>
      <c r="S76" s="168" t="s">
        <v>747</v>
      </c>
      <c r="AG76" s="43" t="s">
        <v>614</v>
      </c>
      <c r="AH76" t="s">
        <v>1059</v>
      </c>
      <c r="AI76" t="s">
        <v>1053</v>
      </c>
      <c r="AJ76" t="s">
        <v>1040</v>
      </c>
    </row>
    <row r="77" spans="3:36" ht="15" customHeight="1" x14ac:dyDescent="0.25">
      <c r="C77" s="44" t="s">
        <v>500</v>
      </c>
      <c r="S77" s="168" t="s">
        <v>751</v>
      </c>
      <c r="AG77" s="43" t="s">
        <v>613</v>
      </c>
      <c r="AH77" t="s">
        <v>1059</v>
      </c>
      <c r="AI77" t="s">
        <v>1053</v>
      </c>
      <c r="AJ77" t="s">
        <v>1040</v>
      </c>
    </row>
    <row r="78" spans="3:36" ht="15" customHeight="1" x14ac:dyDescent="0.25">
      <c r="C78" s="44" t="s">
        <v>499</v>
      </c>
      <c r="S78" s="168" t="s">
        <v>752</v>
      </c>
      <c r="AG78" s="43" t="s">
        <v>944</v>
      </c>
      <c r="AH78" t="s">
        <v>1059</v>
      </c>
      <c r="AI78" t="s">
        <v>1053</v>
      </c>
      <c r="AJ78" t="s">
        <v>1040</v>
      </c>
    </row>
    <row r="79" spans="3:36" ht="15" customHeight="1" x14ac:dyDescent="0.25">
      <c r="C79" s="44" t="s">
        <v>498</v>
      </c>
      <c r="S79" s="168" t="s">
        <v>767</v>
      </c>
      <c r="AG79" s="43" t="s">
        <v>945</v>
      </c>
      <c r="AH79" t="s">
        <v>1059</v>
      </c>
      <c r="AI79" t="s">
        <v>1053</v>
      </c>
      <c r="AJ79" t="s">
        <v>1040</v>
      </c>
    </row>
    <row r="80" spans="3:36" ht="15" customHeight="1" x14ac:dyDescent="0.25">
      <c r="C80" s="51" t="s">
        <v>188</v>
      </c>
      <c r="S80" s="168" t="s">
        <v>773</v>
      </c>
      <c r="AG80" s="43" t="s">
        <v>947</v>
      </c>
      <c r="AH80" t="s">
        <v>1059</v>
      </c>
      <c r="AI80" t="s">
        <v>1053</v>
      </c>
      <c r="AJ80" t="s">
        <v>1040</v>
      </c>
    </row>
    <row r="81" spans="3:36" ht="15" customHeight="1" x14ac:dyDescent="0.25">
      <c r="C81" s="51" t="s">
        <v>189</v>
      </c>
      <c r="S81" s="168" t="s">
        <v>779</v>
      </c>
      <c r="AG81" s="43" t="s">
        <v>948</v>
      </c>
      <c r="AH81" t="s">
        <v>1059</v>
      </c>
      <c r="AI81" t="s">
        <v>1053</v>
      </c>
      <c r="AJ81" t="s">
        <v>1040</v>
      </c>
    </row>
    <row r="82" spans="3:36" ht="15" customHeight="1" x14ac:dyDescent="0.25">
      <c r="C82" s="51" t="s">
        <v>187</v>
      </c>
      <c r="S82" s="168" t="s">
        <v>783</v>
      </c>
      <c r="AG82" s="43" t="s">
        <v>949</v>
      </c>
      <c r="AH82" t="s">
        <v>1059</v>
      </c>
      <c r="AI82" t="s">
        <v>1053</v>
      </c>
      <c r="AJ82" t="s">
        <v>1040</v>
      </c>
    </row>
    <row r="83" spans="3:36" ht="15" customHeight="1" x14ac:dyDescent="0.25">
      <c r="C83" s="43" t="s">
        <v>834</v>
      </c>
      <c r="S83" s="168" t="s">
        <v>796</v>
      </c>
      <c r="AG83" s="43" t="s">
        <v>822</v>
      </c>
      <c r="AH83" t="s">
        <v>1059</v>
      </c>
      <c r="AI83" t="s">
        <v>1053</v>
      </c>
      <c r="AJ83" t="s">
        <v>1040</v>
      </c>
    </row>
    <row r="84" spans="3:36" ht="15" customHeight="1" x14ac:dyDescent="0.25">
      <c r="C84" s="44" t="s">
        <v>539</v>
      </c>
      <c r="S84" s="168" t="s">
        <v>799</v>
      </c>
      <c r="AG84" s="50" t="s">
        <v>899</v>
      </c>
      <c r="AH84" t="s">
        <v>1059</v>
      </c>
      <c r="AI84" t="s">
        <v>1053</v>
      </c>
      <c r="AJ84" t="s">
        <v>1040</v>
      </c>
    </row>
    <row r="85" spans="3:36" ht="15" customHeight="1" x14ac:dyDescent="0.25">
      <c r="C85" s="43" t="s">
        <v>860</v>
      </c>
      <c r="S85" s="168" t="s">
        <v>810</v>
      </c>
      <c r="AG85" s="43" t="s">
        <v>925</v>
      </c>
      <c r="AH85" t="s">
        <v>1059</v>
      </c>
      <c r="AI85" t="s">
        <v>1053</v>
      </c>
      <c r="AJ85" t="s">
        <v>1040</v>
      </c>
    </row>
    <row r="86" spans="3:36" ht="15" customHeight="1" x14ac:dyDescent="0.25">
      <c r="C86" s="50" t="s">
        <v>898</v>
      </c>
      <c r="S86" s="168" t="s">
        <v>823</v>
      </c>
      <c r="AG86" s="50" t="s">
        <v>905</v>
      </c>
      <c r="AH86" t="s">
        <v>1059</v>
      </c>
      <c r="AI86" t="s">
        <v>1053</v>
      </c>
      <c r="AJ86" t="s">
        <v>1040</v>
      </c>
    </row>
    <row r="87" spans="3:36" ht="15" customHeight="1" x14ac:dyDescent="0.25">
      <c r="C87" s="43" t="s">
        <v>320</v>
      </c>
      <c r="S87" s="168" t="s">
        <v>830</v>
      </c>
      <c r="AG87" s="43" t="s">
        <v>926</v>
      </c>
      <c r="AH87" t="s">
        <v>1059</v>
      </c>
      <c r="AI87" t="s">
        <v>1053</v>
      </c>
      <c r="AJ87" t="s">
        <v>1040</v>
      </c>
    </row>
    <row r="88" spans="3:36" ht="15" customHeight="1" x14ac:dyDescent="0.25">
      <c r="C88" s="50" t="s">
        <v>251</v>
      </c>
      <c r="S88" s="168" t="s">
        <v>838</v>
      </c>
      <c r="AG88" s="50" t="s">
        <v>73</v>
      </c>
      <c r="AH88" t="s">
        <v>1059</v>
      </c>
      <c r="AI88" t="s">
        <v>1053</v>
      </c>
      <c r="AJ88" t="s">
        <v>1040</v>
      </c>
    </row>
    <row r="89" spans="3:36" ht="15" customHeight="1" x14ac:dyDescent="0.25">
      <c r="C89" s="50" t="s">
        <v>211</v>
      </c>
      <c r="S89" s="168" t="s">
        <v>839</v>
      </c>
      <c r="AG89" s="50" t="s">
        <v>96</v>
      </c>
      <c r="AH89" t="s">
        <v>1059</v>
      </c>
      <c r="AI89" t="s">
        <v>1053</v>
      </c>
      <c r="AJ89" t="s">
        <v>1040</v>
      </c>
    </row>
    <row r="90" spans="3:36" ht="15" customHeight="1" x14ac:dyDescent="0.25">
      <c r="C90" s="43" t="s">
        <v>329</v>
      </c>
      <c r="S90" s="168" t="s">
        <v>840</v>
      </c>
      <c r="AG90" s="43" t="s">
        <v>983</v>
      </c>
      <c r="AH90" t="s">
        <v>1059</v>
      </c>
      <c r="AI90" t="s">
        <v>1053</v>
      </c>
      <c r="AJ90" t="s">
        <v>1040</v>
      </c>
    </row>
    <row r="91" spans="3:36" ht="15" customHeight="1" x14ac:dyDescent="0.25">
      <c r="C91" s="43" t="s">
        <v>258</v>
      </c>
      <c r="S91" s="168" t="s">
        <v>841</v>
      </c>
      <c r="AG91" s="43" t="s">
        <v>411</v>
      </c>
      <c r="AH91" t="s">
        <v>1059</v>
      </c>
      <c r="AI91" t="s">
        <v>1053</v>
      </c>
      <c r="AJ91" t="s">
        <v>1040</v>
      </c>
    </row>
    <row r="92" spans="3:36" ht="15" customHeight="1" x14ac:dyDescent="0.25">
      <c r="C92" s="43" t="s">
        <v>222</v>
      </c>
      <c r="S92" s="168" t="s">
        <v>851</v>
      </c>
      <c r="AG92" s="50" t="s">
        <v>72</v>
      </c>
      <c r="AH92" t="s">
        <v>1059</v>
      </c>
      <c r="AI92" t="s">
        <v>1053</v>
      </c>
      <c r="AJ92" t="s">
        <v>1040</v>
      </c>
    </row>
    <row r="93" spans="3:36" ht="15" customHeight="1" x14ac:dyDescent="0.25">
      <c r="C93" s="50" t="s">
        <v>274</v>
      </c>
      <c r="S93" s="168" t="s">
        <v>853</v>
      </c>
      <c r="AG93" s="50" t="s">
        <v>95</v>
      </c>
      <c r="AH93" t="s">
        <v>1059</v>
      </c>
      <c r="AI93" t="s">
        <v>1053</v>
      </c>
      <c r="AJ93" t="s">
        <v>1040</v>
      </c>
    </row>
    <row r="94" spans="3:36" ht="15" customHeight="1" x14ac:dyDescent="0.25">
      <c r="C94" s="43" t="s">
        <v>286</v>
      </c>
      <c r="S94" s="168" t="s">
        <v>859</v>
      </c>
      <c r="AG94" s="43" t="s">
        <v>984</v>
      </c>
      <c r="AH94" t="s">
        <v>1059</v>
      </c>
      <c r="AI94" t="s">
        <v>1053</v>
      </c>
      <c r="AJ94" t="s">
        <v>1040</v>
      </c>
    </row>
    <row r="95" spans="3:36" ht="15" customHeight="1" x14ac:dyDescent="0.25">
      <c r="C95" s="43" t="s">
        <v>927</v>
      </c>
      <c r="S95" s="168" t="s">
        <v>861</v>
      </c>
      <c r="AG95" s="44" t="s">
        <v>492</v>
      </c>
      <c r="AH95" t="s">
        <v>1059</v>
      </c>
      <c r="AI95" t="s">
        <v>1053</v>
      </c>
      <c r="AJ95" t="s">
        <v>1040</v>
      </c>
    </row>
    <row r="96" spans="3:36" ht="15" customHeight="1" x14ac:dyDescent="0.25">
      <c r="C96" s="50" t="s">
        <v>904</v>
      </c>
      <c r="S96" s="168" t="s">
        <v>873</v>
      </c>
      <c r="AG96" s="50" t="s">
        <v>71</v>
      </c>
      <c r="AH96" t="s">
        <v>1059</v>
      </c>
      <c r="AI96" t="s">
        <v>1053</v>
      </c>
      <c r="AJ96" t="s">
        <v>1040</v>
      </c>
    </row>
    <row r="97" spans="3:36" ht="15" customHeight="1" x14ac:dyDescent="0.25">
      <c r="C97" s="43" t="s">
        <v>319</v>
      </c>
      <c r="S97" s="168" t="s">
        <v>879</v>
      </c>
      <c r="AG97" s="50" t="s">
        <v>94</v>
      </c>
      <c r="AH97" t="s">
        <v>1059</v>
      </c>
      <c r="AI97" t="s">
        <v>1053</v>
      </c>
      <c r="AJ97" t="s">
        <v>1040</v>
      </c>
    </row>
    <row r="98" spans="3:36" ht="15" customHeight="1" x14ac:dyDescent="0.25">
      <c r="C98" s="50" t="s">
        <v>250</v>
      </c>
      <c r="S98" s="168" t="s">
        <v>908</v>
      </c>
      <c r="AG98" s="43" t="s">
        <v>985</v>
      </c>
      <c r="AH98" t="s">
        <v>1059</v>
      </c>
      <c r="AI98" t="s">
        <v>1053</v>
      </c>
      <c r="AJ98" t="s">
        <v>1040</v>
      </c>
    </row>
    <row r="99" spans="3:36" ht="15" customHeight="1" x14ac:dyDescent="0.25">
      <c r="C99" s="50" t="s">
        <v>210</v>
      </c>
      <c r="S99" s="168" t="s">
        <v>919</v>
      </c>
      <c r="AG99" s="44" t="s">
        <v>399</v>
      </c>
      <c r="AH99" t="s">
        <v>1059</v>
      </c>
      <c r="AI99" t="s">
        <v>1053</v>
      </c>
      <c r="AJ99" t="s">
        <v>1040</v>
      </c>
    </row>
    <row r="100" spans="3:36" ht="15" customHeight="1" x14ac:dyDescent="0.25">
      <c r="C100" s="43" t="s">
        <v>328</v>
      </c>
      <c r="S100" s="168" t="s">
        <v>930</v>
      </c>
      <c r="AG100" s="50" t="s">
        <v>75</v>
      </c>
      <c r="AH100" t="s">
        <v>1059</v>
      </c>
      <c r="AI100" t="s">
        <v>1053</v>
      </c>
      <c r="AJ100" t="s">
        <v>1040</v>
      </c>
    </row>
    <row r="101" spans="3:36" ht="15" customHeight="1" x14ac:dyDescent="0.25">
      <c r="C101" s="43" t="s">
        <v>257</v>
      </c>
      <c r="S101" s="168" t="s">
        <v>941</v>
      </c>
      <c r="AG101" s="43" t="s">
        <v>981</v>
      </c>
      <c r="AH101" t="s">
        <v>1059</v>
      </c>
      <c r="AI101" t="s">
        <v>1053</v>
      </c>
      <c r="AJ101" t="s">
        <v>1040</v>
      </c>
    </row>
    <row r="102" spans="3:36" ht="15" customHeight="1" x14ac:dyDescent="0.25">
      <c r="C102" s="43" t="s">
        <v>221</v>
      </c>
      <c r="S102" s="168" t="s">
        <v>951</v>
      </c>
      <c r="AG102" s="50" t="s">
        <v>74</v>
      </c>
      <c r="AH102" t="s">
        <v>1059</v>
      </c>
      <c r="AI102" t="s">
        <v>1053</v>
      </c>
      <c r="AJ102" t="s">
        <v>1040</v>
      </c>
    </row>
    <row r="103" spans="3:36" ht="15" customHeight="1" x14ac:dyDescent="0.25">
      <c r="C103" s="50" t="s">
        <v>273</v>
      </c>
      <c r="S103" s="168" t="s">
        <v>957</v>
      </c>
      <c r="AG103" s="50" t="s">
        <v>97</v>
      </c>
      <c r="AH103" t="s">
        <v>1059</v>
      </c>
      <c r="AI103" t="s">
        <v>1053</v>
      </c>
      <c r="AJ103" t="s">
        <v>1040</v>
      </c>
    </row>
    <row r="104" spans="3:36" ht="15" customHeight="1" x14ac:dyDescent="0.25">
      <c r="C104" s="43" t="s">
        <v>285</v>
      </c>
      <c r="S104" s="168" t="s">
        <v>963</v>
      </c>
      <c r="AG104" s="43" t="s">
        <v>982</v>
      </c>
      <c r="AH104" t="s">
        <v>1059</v>
      </c>
      <c r="AI104" t="s">
        <v>1053</v>
      </c>
      <c r="AJ104" t="s">
        <v>1040</v>
      </c>
    </row>
    <row r="105" spans="3:36" ht="15" customHeight="1" x14ac:dyDescent="0.25">
      <c r="C105" s="43" t="s">
        <v>854</v>
      </c>
      <c r="S105" s="168" t="s">
        <v>975</v>
      </c>
      <c r="AG105" s="44" t="s">
        <v>631</v>
      </c>
      <c r="AH105" t="s">
        <v>1059</v>
      </c>
      <c r="AI105" t="s">
        <v>1053</v>
      </c>
      <c r="AJ105" t="s">
        <v>1040</v>
      </c>
    </row>
    <row r="106" spans="3:36" ht="15" customHeight="1" x14ac:dyDescent="0.25">
      <c r="C106" s="43" t="s">
        <v>928</v>
      </c>
      <c r="S106" s="168" t="s">
        <v>987</v>
      </c>
      <c r="AG106" s="43" t="s">
        <v>842</v>
      </c>
      <c r="AH106" t="s">
        <v>122</v>
      </c>
      <c r="AI106" t="s">
        <v>1060</v>
      </c>
      <c r="AJ106" t="s">
        <v>1040</v>
      </c>
    </row>
    <row r="107" spans="3:36" ht="15" customHeight="1" x14ac:dyDescent="0.25">
      <c r="C107" s="50" t="s">
        <v>897</v>
      </c>
      <c r="S107" s="168" t="s">
        <v>994</v>
      </c>
      <c r="AG107" s="43" t="s">
        <v>844</v>
      </c>
      <c r="AH107" t="s">
        <v>122</v>
      </c>
      <c r="AI107" t="s">
        <v>1060</v>
      </c>
    </row>
    <row r="108" spans="3:36" ht="15" customHeight="1" x14ac:dyDescent="0.25">
      <c r="C108" s="43" t="s">
        <v>318</v>
      </c>
      <c r="S108" s="168" t="s">
        <v>996</v>
      </c>
      <c r="AG108" s="43" t="s">
        <v>845</v>
      </c>
      <c r="AH108" t="s">
        <v>122</v>
      </c>
      <c r="AI108" t="s">
        <v>1060</v>
      </c>
    </row>
    <row r="109" spans="3:36" ht="15" customHeight="1" x14ac:dyDescent="0.25">
      <c r="C109" s="50" t="s">
        <v>249</v>
      </c>
      <c r="S109" s="168" t="s">
        <v>999</v>
      </c>
      <c r="AG109" s="43" t="s">
        <v>846</v>
      </c>
      <c r="AH109" t="s">
        <v>122</v>
      </c>
      <c r="AI109" t="s">
        <v>1060</v>
      </c>
    </row>
    <row r="110" spans="3:36" ht="15" customHeight="1" x14ac:dyDescent="0.25">
      <c r="C110" s="50" t="s">
        <v>209</v>
      </c>
      <c r="S110" s="168" t="s">
        <v>1001</v>
      </c>
      <c r="AG110" s="43" t="s">
        <v>847</v>
      </c>
      <c r="AH110" t="s">
        <v>122</v>
      </c>
      <c r="AI110" t="s">
        <v>1060</v>
      </c>
    </row>
    <row r="111" spans="3:36" ht="15" customHeight="1" x14ac:dyDescent="0.25">
      <c r="C111" s="43" t="s">
        <v>327</v>
      </c>
      <c r="S111" s="168" t="s">
        <v>1003</v>
      </c>
      <c r="AG111" s="43" t="s">
        <v>848</v>
      </c>
      <c r="AH111" t="s">
        <v>122</v>
      </c>
      <c r="AI111" t="s">
        <v>1060</v>
      </c>
    </row>
    <row r="112" spans="3:36" ht="15" customHeight="1" x14ac:dyDescent="0.25">
      <c r="C112" s="43" t="s">
        <v>256</v>
      </c>
      <c r="S112" s="168" t="s">
        <v>1004</v>
      </c>
      <c r="AG112" s="43" t="s">
        <v>849</v>
      </c>
      <c r="AH112" t="s">
        <v>122</v>
      </c>
      <c r="AI112" t="s">
        <v>1060</v>
      </c>
    </row>
    <row r="113" spans="3:35" ht="15" customHeight="1" x14ac:dyDescent="0.25">
      <c r="C113" s="43" t="s">
        <v>220</v>
      </c>
      <c r="S113" s="168" t="s">
        <v>1007</v>
      </c>
      <c r="AG113" s="43" t="s">
        <v>850</v>
      </c>
      <c r="AH113" t="s">
        <v>122</v>
      </c>
      <c r="AI113" t="s">
        <v>1060</v>
      </c>
    </row>
    <row r="114" spans="3:35" ht="15" customHeight="1" x14ac:dyDescent="0.25">
      <c r="C114" s="50" t="s">
        <v>272</v>
      </c>
      <c r="S114" s="168" t="s">
        <v>1008</v>
      </c>
      <c r="AG114" s="43" t="s">
        <v>852</v>
      </c>
      <c r="AH114" t="s">
        <v>122</v>
      </c>
      <c r="AI114" t="s">
        <v>1060</v>
      </c>
    </row>
    <row r="115" spans="3:35" ht="15" customHeight="1" x14ac:dyDescent="0.25">
      <c r="C115" s="43" t="s">
        <v>284</v>
      </c>
      <c r="S115" s="168" t="s">
        <v>1009</v>
      </c>
      <c r="AG115" s="43" t="s">
        <v>843</v>
      </c>
      <c r="AH115" t="s">
        <v>122</v>
      </c>
      <c r="AI115" t="s">
        <v>1060</v>
      </c>
    </row>
    <row r="116" spans="3:35" ht="15" customHeight="1" x14ac:dyDescent="0.25">
      <c r="C116" s="44" t="s">
        <v>438</v>
      </c>
      <c r="S116" s="168" t="s">
        <v>1010</v>
      </c>
      <c r="AG116" s="43" t="s">
        <v>705</v>
      </c>
      <c r="AH116" t="s">
        <v>1059</v>
      </c>
      <c r="AI116" t="s">
        <v>1053</v>
      </c>
    </row>
    <row r="117" spans="3:35" ht="15" customHeight="1" x14ac:dyDescent="0.25">
      <c r="C117" s="44" t="s">
        <v>437</v>
      </c>
      <c r="S117" s="168" t="s">
        <v>1011</v>
      </c>
      <c r="AG117" s="43" t="s">
        <v>708</v>
      </c>
      <c r="AH117" t="s">
        <v>1059</v>
      </c>
      <c r="AI117" t="s">
        <v>1053</v>
      </c>
    </row>
    <row r="118" spans="3:35" ht="15" customHeight="1" x14ac:dyDescent="0.25">
      <c r="C118" s="43" t="s">
        <v>855</v>
      </c>
      <c r="S118" s="168" t="s">
        <v>1013</v>
      </c>
      <c r="AG118" s="43" t="s">
        <v>714</v>
      </c>
    </row>
    <row r="119" spans="3:35" ht="15" customHeight="1" x14ac:dyDescent="0.25">
      <c r="C119" s="43" t="s">
        <v>929</v>
      </c>
      <c r="S119" s="168" t="s">
        <v>1014</v>
      </c>
      <c r="AG119" s="43" t="s">
        <v>718</v>
      </c>
    </row>
    <row r="120" spans="3:35" ht="15" customHeight="1" x14ac:dyDescent="0.25">
      <c r="C120" s="50" t="s">
        <v>903</v>
      </c>
      <c r="S120" s="168" t="s">
        <v>1015</v>
      </c>
      <c r="AG120" s="43" t="s">
        <v>966</v>
      </c>
    </row>
    <row r="121" spans="3:35" ht="15" customHeight="1" x14ac:dyDescent="0.25">
      <c r="C121" s="43" t="s">
        <v>856</v>
      </c>
      <c r="S121" s="168" t="s">
        <v>1016</v>
      </c>
      <c r="AG121" s="43" t="s">
        <v>978</v>
      </c>
    </row>
    <row r="122" spans="3:35" ht="15" customHeight="1" x14ac:dyDescent="0.25">
      <c r="C122" s="43" t="s">
        <v>857</v>
      </c>
      <c r="S122" s="168" t="s">
        <v>1020</v>
      </c>
      <c r="AG122" s="43" t="s">
        <v>971</v>
      </c>
    </row>
    <row r="123" spans="3:35" ht="15" customHeight="1" x14ac:dyDescent="0.25">
      <c r="C123" s="50" t="s">
        <v>902</v>
      </c>
      <c r="S123" s="168" t="s">
        <v>1022</v>
      </c>
      <c r="AG123" s="43" t="s">
        <v>967</v>
      </c>
    </row>
    <row r="124" spans="3:35" ht="15" customHeight="1" x14ac:dyDescent="0.25">
      <c r="C124" s="43" t="s">
        <v>858</v>
      </c>
      <c r="S124" s="168" t="s">
        <v>1023</v>
      </c>
      <c r="AG124" s="43" t="s">
        <v>979</v>
      </c>
    </row>
    <row r="125" spans="3:35" ht="15" customHeight="1" x14ac:dyDescent="0.35">
      <c r="C125" s="50" t="s">
        <v>901</v>
      </c>
      <c r="AG125" s="43" t="s">
        <v>972</v>
      </c>
    </row>
    <row r="126" spans="3:35" ht="15" customHeight="1" x14ac:dyDescent="0.35">
      <c r="C126" s="50" t="s">
        <v>900</v>
      </c>
      <c r="AG126" s="43" t="s">
        <v>968</v>
      </c>
    </row>
    <row r="127" spans="3:35" ht="15" customHeight="1" x14ac:dyDescent="0.35">
      <c r="C127" s="43" t="s">
        <v>567</v>
      </c>
      <c r="AG127" s="43" t="s">
        <v>980</v>
      </c>
    </row>
    <row r="128" spans="3:35" ht="15" customHeight="1" x14ac:dyDescent="0.35">
      <c r="C128" s="43" t="s">
        <v>614</v>
      </c>
      <c r="AG128" s="43" t="s">
        <v>973</v>
      </c>
    </row>
    <row r="129" spans="3:33" ht="15" customHeight="1" x14ac:dyDescent="0.35">
      <c r="C129" s="43" t="s">
        <v>613</v>
      </c>
      <c r="AG129" s="43" t="s">
        <v>964</v>
      </c>
    </row>
    <row r="130" spans="3:33" ht="15" customHeight="1" x14ac:dyDescent="0.35">
      <c r="C130" s="43" t="s">
        <v>944</v>
      </c>
      <c r="AG130" s="43" t="s">
        <v>976</v>
      </c>
    </row>
    <row r="131" spans="3:33" ht="15" customHeight="1" x14ac:dyDescent="0.35">
      <c r="C131" s="43" t="s">
        <v>945</v>
      </c>
      <c r="AG131" s="43" t="s">
        <v>969</v>
      </c>
    </row>
    <row r="132" spans="3:33" ht="15" customHeight="1" x14ac:dyDescent="0.35">
      <c r="C132" s="43" t="s">
        <v>947</v>
      </c>
      <c r="AG132" s="43" t="s">
        <v>965</v>
      </c>
    </row>
    <row r="133" spans="3:33" ht="15" customHeight="1" x14ac:dyDescent="0.35">
      <c r="C133" s="43" t="s">
        <v>948</v>
      </c>
      <c r="AG133" s="43" t="s">
        <v>977</v>
      </c>
    </row>
    <row r="134" spans="3:33" ht="15" customHeight="1" x14ac:dyDescent="0.35">
      <c r="C134" s="43" t="s">
        <v>949</v>
      </c>
      <c r="AG134" s="43" t="s">
        <v>970</v>
      </c>
    </row>
    <row r="135" spans="3:33" ht="15" customHeight="1" x14ac:dyDescent="0.35">
      <c r="C135" s="43" t="s">
        <v>822</v>
      </c>
      <c r="AG135" s="50" t="s">
        <v>870</v>
      </c>
    </row>
    <row r="136" spans="3:33" ht="15" customHeight="1" x14ac:dyDescent="0.35">
      <c r="C136" s="50" t="s">
        <v>899</v>
      </c>
      <c r="AG136" s="44" t="s">
        <v>484</v>
      </c>
    </row>
    <row r="137" spans="3:33" ht="15" customHeight="1" x14ac:dyDescent="0.35">
      <c r="C137" s="43" t="s">
        <v>925</v>
      </c>
      <c r="AG137" s="43" t="s">
        <v>654</v>
      </c>
    </row>
    <row r="138" spans="3:33" ht="15" customHeight="1" x14ac:dyDescent="0.35">
      <c r="C138" s="50" t="s">
        <v>905</v>
      </c>
      <c r="AG138" s="50" t="s">
        <v>892</v>
      </c>
    </row>
    <row r="139" spans="3:33" ht="15" customHeight="1" x14ac:dyDescent="0.35">
      <c r="C139" s="43" t="s">
        <v>926</v>
      </c>
      <c r="AG139" s="43" t="s">
        <v>637</v>
      </c>
    </row>
    <row r="140" spans="3:33" ht="15" customHeight="1" x14ac:dyDescent="0.35">
      <c r="C140" s="50" t="s">
        <v>73</v>
      </c>
      <c r="AG140" s="43" t="s">
        <v>666</v>
      </c>
    </row>
    <row r="141" spans="3:33" ht="15" customHeight="1" x14ac:dyDescent="0.35">
      <c r="C141" s="50" t="s">
        <v>96</v>
      </c>
      <c r="AG141" s="43" t="s">
        <v>672</v>
      </c>
    </row>
    <row r="142" spans="3:33" ht="15" customHeight="1" x14ac:dyDescent="0.35">
      <c r="C142" s="43" t="s">
        <v>983</v>
      </c>
      <c r="AG142" s="50" t="s">
        <v>129</v>
      </c>
    </row>
    <row r="143" spans="3:33" ht="15" customHeight="1" x14ac:dyDescent="0.35">
      <c r="C143" s="43" t="s">
        <v>411</v>
      </c>
      <c r="AG143" s="44" t="s">
        <v>536</v>
      </c>
    </row>
    <row r="144" spans="3:33" ht="15" customHeight="1" x14ac:dyDescent="0.35">
      <c r="C144" s="50" t="s">
        <v>72</v>
      </c>
      <c r="AG144" s="43" t="s">
        <v>643</v>
      </c>
    </row>
    <row r="145" spans="3:33" ht="15" customHeight="1" x14ac:dyDescent="0.35">
      <c r="C145" s="50" t="s">
        <v>95</v>
      </c>
      <c r="AG145" s="44" t="s">
        <v>111</v>
      </c>
    </row>
    <row r="146" spans="3:33" ht="15" customHeight="1" x14ac:dyDescent="0.35">
      <c r="C146" s="43" t="s">
        <v>984</v>
      </c>
      <c r="AG146" s="50" t="s">
        <v>178</v>
      </c>
    </row>
    <row r="147" spans="3:33" ht="15" customHeight="1" x14ac:dyDescent="0.35">
      <c r="C147" s="44" t="s">
        <v>492</v>
      </c>
      <c r="AG147" s="43" t="s">
        <v>193</v>
      </c>
    </row>
    <row r="148" spans="3:33" ht="15" customHeight="1" x14ac:dyDescent="0.35">
      <c r="C148" s="50" t="s">
        <v>71</v>
      </c>
      <c r="AG148" s="50" t="s">
        <v>231</v>
      </c>
    </row>
    <row r="149" spans="3:33" ht="15" customHeight="1" x14ac:dyDescent="0.35">
      <c r="C149" s="50" t="s">
        <v>94</v>
      </c>
      <c r="AG149" s="43" t="s">
        <v>92</v>
      </c>
    </row>
    <row r="150" spans="3:33" ht="15" customHeight="1" x14ac:dyDescent="0.35">
      <c r="C150" s="43" t="s">
        <v>985</v>
      </c>
      <c r="AG150" s="43" t="s">
        <v>314</v>
      </c>
    </row>
    <row r="151" spans="3:33" ht="15" customHeight="1" x14ac:dyDescent="0.35">
      <c r="C151" s="44" t="s">
        <v>399</v>
      </c>
      <c r="AG151" s="50" t="s">
        <v>247</v>
      </c>
    </row>
    <row r="152" spans="3:33" ht="15" customHeight="1" x14ac:dyDescent="0.35">
      <c r="C152" s="50" t="s">
        <v>75</v>
      </c>
      <c r="AG152" s="50" t="s">
        <v>203</v>
      </c>
    </row>
    <row r="153" spans="3:33" ht="15" customHeight="1" x14ac:dyDescent="0.35">
      <c r="C153" s="43" t="s">
        <v>981</v>
      </c>
      <c r="AG153" s="43" t="s">
        <v>323</v>
      </c>
    </row>
    <row r="154" spans="3:33" ht="15" customHeight="1" x14ac:dyDescent="0.35">
      <c r="C154" s="50" t="s">
        <v>74</v>
      </c>
      <c r="AG154" s="43" t="s">
        <v>254</v>
      </c>
    </row>
    <row r="155" spans="3:33" ht="15" customHeight="1" x14ac:dyDescent="0.35">
      <c r="C155" s="50" t="s">
        <v>97</v>
      </c>
      <c r="AG155" s="43" t="s">
        <v>214</v>
      </c>
    </row>
    <row r="156" spans="3:33" ht="15" customHeight="1" x14ac:dyDescent="0.35">
      <c r="C156" s="43" t="s">
        <v>982</v>
      </c>
      <c r="AG156" s="43" t="s">
        <v>51</v>
      </c>
    </row>
    <row r="157" spans="3:33" ht="15" customHeight="1" x14ac:dyDescent="0.35">
      <c r="C157" s="44" t="s">
        <v>631</v>
      </c>
      <c r="AG157" s="43" t="s">
        <v>405</v>
      </c>
    </row>
    <row r="158" spans="3:33" ht="15" customHeight="1" x14ac:dyDescent="0.35">
      <c r="C158" s="43" t="s">
        <v>842</v>
      </c>
      <c r="AG158" s="43" t="s">
        <v>409</v>
      </c>
    </row>
    <row r="159" spans="3:33" ht="15" customHeight="1" x14ac:dyDescent="0.35">
      <c r="C159" s="43" t="s">
        <v>844</v>
      </c>
      <c r="AG159" s="43" t="s">
        <v>392</v>
      </c>
    </row>
    <row r="160" spans="3:33" ht="15" customHeight="1" x14ac:dyDescent="0.35">
      <c r="C160" s="43" t="s">
        <v>845</v>
      </c>
      <c r="AG160" s="50" t="s">
        <v>266</v>
      </c>
    </row>
    <row r="161" spans="3:33" ht="15" customHeight="1" x14ac:dyDescent="0.35">
      <c r="C161" s="43" t="s">
        <v>846</v>
      </c>
      <c r="AG161" s="43" t="s">
        <v>396</v>
      </c>
    </row>
    <row r="162" spans="3:33" ht="15" customHeight="1" x14ac:dyDescent="0.35">
      <c r="C162" s="43" t="s">
        <v>847</v>
      </c>
      <c r="AG162" s="43" t="s">
        <v>278</v>
      </c>
    </row>
    <row r="163" spans="3:33" ht="15" customHeight="1" x14ac:dyDescent="0.35">
      <c r="C163" s="43" t="s">
        <v>848</v>
      </c>
      <c r="AG163" s="43" t="s">
        <v>559</v>
      </c>
    </row>
    <row r="164" spans="3:33" ht="15" customHeight="1" x14ac:dyDescent="0.35">
      <c r="C164" s="43" t="s">
        <v>849</v>
      </c>
      <c r="AG164" s="43" t="s">
        <v>593</v>
      </c>
    </row>
    <row r="165" spans="3:33" ht="15" customHeight="1" x14ac:dyDescent="0.35">
      <c r="C165" s="43" t="s">
        <v>850</v>
      </c>
      <c r="AG165" s="43" t="s">
        <v>605</v>
      </c>
    </row>
    <row r="166" spans="3:33" ht="15" customHeight="1" x14ac:dyDescent="0.35">
      <c r="C166" s="43" t="s">
        <v>852</v>
      </c>
      <c r="AG166" s="43" t="s">
        <v>715</v>
      </c>
    </row>
    <row r="167" spans="3:33" ht="15" customHeight="1" x14ac:dyDescent="0.35">
      <c r="C167" s="43" t="s">
        <v>843</v>
      </c>
      <c r="AG167" s="43" t="s">
        <v>578</v>
      </c>
    </row>
    <row r="168" spans="3:33" ht="15" customHeight="1" x14ac:dyDescent="0.35">
      <c r="C168" s="43" t="s">
        <v>705</v>
      </c>
      <c r="AG168" s="44" t="s">
        <v>619</v>
      </c>
    </row>
    <row r="169" spans="3:33" ht="15" customHeight="1" x14ac:dyDescent="0.35">
      <c r="C169" s="43" t="s">
        <v>708</v>
      </c>
      <c r="AG169" s="43" t="s">
        <v>554</v>
      </c>
    </row>
    <row r="170" spans="3:33" ht="15" customHeight="1" x14ac:dyDescent="0.35">
      <c r="C170" s="103" t="s">
        <v>239</v>
      </c>
      <c r="AG170" s="43" t="s">
        <v>589</v>
      </c>
    </row>
    <row r="171" spans="3:33" ht="15" customHeight="1" x14ac:dyDescent="0.35">
      <c r="C171" s="85" t="s">
        <v>133</v>
      </c>
      <c r="AG171" s="43" t="s">
        <v>601</v>
      </c>
    </row>
    <row r="172" spans="3:33" ht="15" customHeight="1" x14ac:dyDescent="0.35">
      <c r="C172" s="85" t="s">
        <v>135</v>
      </c>
      <c r="AG172" s="43" t="s">
        <v>573</v>
      </c>
    </row>
    <row r="173" spans="3:33" ht="15" customHeight="1" x14ac:dyDescent="0.35">
      <c r="C173" s="92" t="s">
        <v>241</v>
      </c>
      <c r="AG173" s="44" t="s">
        <v>429</v>
      </c>
    </row>
    <row r="174" spans="3:33" ht="15" customHeight="1" x14ac:dyDescent="0.5">
      <c r="C174" s="35" t="s">
        <v>38</v>
      </c>
      <c r="AG174" s="44" t="s">
        <v>447</v>
      </c>
    </row>
    <row r="175" spans="3:33" ht="15" customHeight="1" x14ac:dyDescent="0.35">
      <c r="C175" s="83" t="s">
        <v>242</v>
      </c>
      <c r="AG175" s="44" t="s">
        <v>424</v>
      </c>
    </row>
    <row r="176" spans="3:33" ht="15" customHeight="1" x14ac:dyDescent="0.35">
      <c r="C176" s="59" t="s">
        <v>729</v>
      </c>
      <c r="AG176" s="44" t="s">
        <v>442</v>
      </c>
    </row>
    <row r="177" spans="3:33" ht="15" customHeight="1" x14ac:dyDescent="0.35">
      <c r="C177" s="59" t="s">
        <v>419</v>
      </c>
      <c r="AG177" s="44" t="s">
        <v>623</v>
      </c>
    </row>
    <row r="178" spans="3:33" ht="15" customHeight="1" x14ac:dyDescent="0.35">
      <c r="C178" s="59" t="s">
        <v>117</v>
      </c>
      <c r="AG178" s="44" t="s">
        <v>434</v>
      </c>
    </row>
    <row r="179" spans="3:33" ht="15" customHeight="1" x14ac:dyDescent="0.35">
      <c r="C179" s="59" t="s">
        <v>711</v>
      </c>
      <c r="AG179" s="43" t="s">
        <v>597</v>
      </c>
    </row>
    <row r="180" spans="3:33" ht="15" customHeight="1" x14ac:dyDescent="0.35">
      <c r="C180" s="60" t="s">
        <v>586</v>
      </c>
      <c r="AG180" s="43" t="s">
        <v>609</v>
      </c>
    </row>
    <row r="181" spans="3:33" ht="15" customHeight="1" x14ac:dyDescent="0.35">
      <c r="C181" s="59" t="s">
        <v>658</v>
      </c>
      <c r="AG181" s="43" t="s">
        <v>719</v>
      </c>
    </row>
    <row r="182" spans="3:33" ht="15" customHeight="1" x14ac:dyDescent="0.35">
      <c r="C182" s="59" t="s">
        <v>722</v>
      </c>
      <c r="AG182" s="44" t="s">
        <v>452</v>
      </c>
    </row>
    <row r="183" spans="3:33" ht="15" customHeight="1" x14ac:dyDescent="0.35">
      <c r="C183" s="59" t="s">
        <v>413</v>
      </c>
      <c r="AG183" s="43" t="s">
        <v>689</v>
      </c>
    </row>
    <row r="184" spans="3:33" ht="15" customHeight="1" x14ac:dyDescent="0.35">
      <c r="C184" s="59" t="s">
        <v>632</v>
      </c>
      <c r="AG184" s="43" t="s">
        <v>697</v>
      </c>
    </row>
    <row r="185" spans="3:33" ht="15" customHeight="1" x14ac:dyDescent="0.35">
      <c r="C185" s="59" t="s">
        <v>401</v>
      </c>
      <c r="AG185" s="43" t="s">
        <v>690</v>
      </c>
    </row>
    <row r="186" spans="3:33" ht="15" customHeight="1" x14ac:dyDescent="0.35">
      <c r="C186" s="59" t="s">
        <v>733</v>
      </c>
      <c r="AG186" s="43" t="s">
        <v>698</v>
      </c>
    </row>
    <row r="187" spans="3:33" ht="15" customHeight="1" x14ac:dyDescent="0.35">
      <c r="C187" s="43" t="s">
        <v>836</v>
      </c>
      <c r="AG187" s="44" t="s">
        <v>486</v>
      </c>
    </row>
    <row r="188" spans="3:33" ht="15" customHeight="1" x14ac:dyDescent="0.35">
      <c r="C188" s="51" t="s">
        <v>343</v>
      </c>
      <c r="AG188" s="43" t="s">
        <v>61</v>
      </c>
    </row>
    <row r="189" spans="3:33" ht="15" customHeight="1" x14ac:dyDescent="0.35">
      <c r="C189" s="43" t="s">
        <v>455</v>
      </c>
      <c r="AG189" s="43" t="s">
        <v>676</v>
      </c>
    </row>
    <row r="190" spans="3:33" ht="15" customHeight="1" x14ac:dyDescent="0.35">
      <c r="C190" s="51" t="s">
        <v>344</v>
      </c>
      <c r="AG190" s="97" t="s">
        <v>649</v>
      </c>
    </row>
    <row r="191" spans="3:33" ht="15" customHeight="1" x14ac:dyDescent="0.35">
      <c r="C191" s="43" t="s">
        <v>456</v>
      </c>
      <c r="AG191" s="43" t="s">
        <v>317</v>
      </c>
    </row>
    <row r="192" spans="3:33" ht="15" customHeight="1" x14ac:dyDescent="0.35">
      <c r="C192" s="59" t="s">
        <v>738</v>
      </c>
      <c r="AG192" s="50" t="s">
        <v>182</v>
      </c>
    </row>
    <row r="193" spans="3:33" ht="15" customHeight="1" x14ac:dyDescent="0.35">
      <c r="C193" s="118" t="s">
        <v>308</v>
      </c>
      <c r="AG193" s="50" t="s">
        <v>207</v>
      </c>
    </row>
    <row r="194" spans="3:33" ht="15" customHeight="1" x14ac:dyDescent="0.35">
      <c r="C194" s="118" t="s">
        <v>309</v>
      </c>
      <c r="AG194" s="50" t="s">
        <v>270</v>
      </c>
    </row>
    <row r="195" spans="3:33" ht="15" customHeight="1" x14ac:dyDescent="0.35">
      <c r="C195" s="83" t="s">
        <v>123</v>
      </c>
      <c r="AG195" s="50" t="s">
        <v>234</v>
      </c>
    </row>
    <row r="196" spans="3:33" ht="15" customHeight="1" x14ac:dyDescent="0.35">
      <c r="C196" s="43" t="s">
        <v>714</v>
      </c>
      <c r="AG196" s="43" t="s">
        <v>326</v>
      </c>
    </row>
    <row r="197" spans="3:33" ht="15" customHeight="1" x14ac:dyDescent="0.35">
      <c r="C197" s="43" t="s">
        <v>718</v>
      </c>
      <c r="AG197" s="43" t="s">
        <v>197</v>
      </c>
    </row>
    <row r="198" spans="3:33" ht="15" customHeight="1" x14ac:dyDescent="0.35">
      <c r="C198" s="43" t="s">
        <v>966</v>
      </c>
      <c r="AG198" s="43" t="s">
        <v>218</v>
      </c>
    </row>
    <row r="199" spans="3:33" ht="15" customHeight="1" x14ac:dyDescent="0.35">
      <c r="C199" s="43" t="s">
        <v>978</v>
      </c>
      <c r="AG199" s="43" t="s">
        <v>282</v>
      </c>
    </row>
    <row r="200" spans="3:33" ht="15" customHeight="1" x14ac:dyDescent="0.35">
      <c r="C200" s="43" t="s">
        <v>971</v>
      </c>
      <c r="AG200" s="43" t="s">
        <v>653</v>
      </c>
    </row>
    <row r="201" spans="3:33" ht="15" customHeight="1" x14ac:dyDescent="0.35">
      <c r="C201" s="43" t="s">
        <v>967</v>
      </c>
      <c r="AG201" s="43" t="s">
        <v>636</v>
      </c>
    </row>
    <row r="202" spans="3:33" ht="15" customHeight="1" x14ac:dyDescent="0.35">
      <c r="C202" s="43" t="s">
        <v>979</v>
      </c>
      <c r="AG202" s="43" t="s">
        <v>663</v>
      </c>
    </row>
    <row r="203" spans="3:33" ht="15" customHeight="1" x14ac:dyDescent="0.35">
      <c r="C203" s="43" t="s">
        <v>972</v>
      </c>
      <c r="AG203" s="43" t="s">
        <v>671</v>
      </c>
    </row>
    <row r="204" spans="3:33" ht="15" customHeight="1" x14ac:dyDescent="0.35">
      <c r="C204" s="43" t="s">
        <v>968</v>
      </c>
      <c r="AG204" s="50" t="s">
        <v>127</v>
      </c>
    </row>
    <row r="205" spans="3:33" ht="15" customHeight="1" x14ac:dyDescent="0.35">
      <c r="C205" s="43" t="s">
        <v>980</v>
      </c>
      <c r="AG205" s="44" t="s">
        <v>537</v>
      </c>
    </row>
    <row r="206" spans="3:33" ht="15" customHeight="1" x14ac:dyDescent="0.35">
      <c r="C206" s="43" t="s">
        <v>973</v>
      </c>
      <c r="AG206" s="97" t="s">
        <v>641</v>
      </c>
    </row>
    <row r="207" spans="3:33" ht="15" customHeight="1" x14ac:dyDescent="0.35">
      <c r="C207" s="43" t="s">
        <v>964</v>
      </c>
      <c r="AG207" s="50" t="s">
        <v>177</v>
      </c>
    </row>
    <row r="208" spans="3:33" ht="15" customHeight="1" x14ac:dyDescent="0.35">
      <c r="C208" s="43" t="s">
        <v>976</v>
      </c>
      <c r="AG208" s="43" t="s">
        <v>192</v>
      </c>
    </row>
    <row r="209" spans="3:33" ht="15" customHeight="1" x14ac:dyDescent="0.35">
      <c r="C209" s="43" t="s">
        <v>969</v>
      </c>
      <c r="AG209" s="50" t="s">
        <v>230</v>
      </c>
    </row>
    <row r="210" spans="3:33" ht="15" customHeight="1" x14ac:dyDescent="0.35">
      <c r="C210" s="43" t="s">
        <v>965</v>
      </c>
      <c r="AG210" s="43" t="s">
        <v>91</v>
      </c>
    </row>
    <row r="211" spans="3:33" ht="15" customHeight="1" x14ac:dyDescent="0.35">
      <c r="C211" s="43" t="s">
        <v>977</v>
      </c>
      <c r="AG211" s="43" t="s">
        <v>313</v>
      </c>
    </row>
    <row r="212" spans="3:33" ht="15" customHeight="1" x14ac:dyDescent="0.35">
      <c r="C212" s="43" t="s">
        <v>970</v>
      </c>
      <c r="AG212" s="50" t="s">
        <v>246</v>
      </c>
    </row>
    <row r="213" spans="3:33" ht="15" customHeight="1" x14ac:dyDescent="0.35">
      <c r="C213" s="50" t="s">
        <v>870</v>
      </c>
      <c r="AG213" s="50" t="s">
        <v>202</v>
      </c>
    </row>
    <row r="214" spans="3:33" ht="15" customHeight="1" x14ac:dyDescent="0.35">
      <c r="C214" s="44" t="s">
        <v>484</v>
      </c>
      <c r="AG214" s="43" t="s">
        <v>322</v>
      </c>
    </row>
    <row r="215" spans="3:33" ht="15" customHeight="1" x14ac:dyDescent="0.35">
      <c r="C215" s="43" t="s">
        <v>654</v>
      </c>
      <c r="AG215" s="43" t="s">
        <v>253</v>
      </c>
    </row>
    <row r="216" spans="3:33" ht="15" customHeight="1" x14ac:dyDescent="0.35">
      <c r="C216" s="50" t="s">
        <v>892</v>
      </c>
      <c r="AG216" s="43" t="s">
        <v>213</v>
      </c>
    </row>
    <row r="217" spans="3:33" ht="15" customHeight="1" x14ac:dyDescent="0.35">
      <c r="C217" s="43" t="s">
        <v>637</v>
      </c>
      <c r="AG217" s="43" t="s">
        <v>49</v>
      </c>
    </row>
    <row r="218" spans="3:33" ht="15" customHeight="1" x14ac:dyDescent="0.35">
      <c r="C218" s="43" t="s">
        <v>666</v>
      </c>
      <c r="AG218" s="43" t="s">
        <v>404</v>
      </c>
    </row>
    <row r="219" spans="3:33" ht="15" customHeight="1" x14ac:dyDescent="0.35">
      <c r="C219" s="43" t="s">
        <v>672</v>
      </c>
      <c r="AG219" s="43" t="s">
        <v>408</v>
      </c>
    </row>
    <row r="220" spans="3:33" ht="15" customHeight="1" x14ac:dyDescent="0.35">
      <c r="C220" s="50" t="s">
        <v>129</v>
      </c>
      <c r="AG220" s="43" t="s">
        <v>391</v>
      </c>
    </row>
    <row r="221" spans="3:33" ht="15" customHeight="1" x14ac:dyDescent="0.35">
      <c r="C221" s="44" t="s">
        <v>536</v>
      </c>
      <c r="AG221" s="50" t="s">
        <v>265</v>
      </c>
    </row>
    <row r="222" spans="3:33" ht="15" customHeight="1" x14ac:dyDescent="0.35">
      <c r="C222" s="43" t="s">
        <v>643</v>
      </c>
      <c r="AG222" s="43" t="s">
        <v>395</v>
      </c>
    </row>
    <row r="223" spans="3:33" ht="15" customHeight="1" x14ac:dyDescent="0.35">
      <c r="C223" s="44" t="s">
        <v>111</v>
      </c>
      <c r="AG223" s="43" t="s">
        <v>277</v>
      </c>
    </row>
    <row r="224" spans="3:33" ht="15" customHeight="1" x14ac:dyDescent="0.35">
      <c r="C224" s="50" t="s">
        <v>178</v>
      </c>
      <c r="AG224" s="43" t="s">
        <v>560</v>
      </c>
    </row>
    <row r="225" spans="3:33" ht="15" customHeight="1" x14ac:dyDescent="0.35">
      <c r="C225" s="43" t="s">
        <v>193</v>
      </c>
      <c r="AG225" s="43" t="s">
        <v>594</v>
      </c>
    </row>
    <row r="226" spans="3:33" ht="15" customHeight="1" x14ac:dyDescent="0.35">
      <c r="C226" s="50" t="s">
        <v>231</v>
      </c>
      <c r="AG226" s="43" t="s">
        <v>606</v>
      </c>
    </row>
    <row r="227" spans="3:33" ht="15" customHeight="1" x14ac:dyDescent="0.35">
      <c r="C227" s="43" t="s">
        <v>92</v>
      </c>
      <c r="AG227" s="43" t="s">
        <v>716</v>
      </c>
    </row>
    <row r="228" spans="3:33" ht="15" customHeight="1" x14ac:dyDescent="0.35">
      <c r="C228" s="43" t="s">
        <v>314</v>
      </c>
      <c r="AG228" s="43" t="s">
        <v>579</v>
      </c>
    </row>
    <row r="229" spans="3:33" ht="15" customHeight="1" x14ac:dyDescent="0.35">
      <c r="C229" s="50" t="s">
        <v>247</v>
      </c>
      <c r="AG229" s="44" t="s">
        <v>618</v>
      </c>
    </row>
    <row r="230" spans="3:33" ht="15" customHeight="1" x14ac:dyDescent="0.35">
      <c r="C230" s="50" t="s">
        <v>203</v>
      </c>
      <c r="AG230" s="43" t="s">
        <v>555</v>
      </c>
    </row>
    <row r="231" spans="3:33" ht="15" customHeight="1" x14ac:dyDescent="0.35">
      <c r="C231" s="43" t="s">
        <v>323</v>
      </c>
      <c r="AG231" s="43" t="s">
        <v>590</v>
      </c>
    </row>
    <row r="232" spans="3:33" ht="15" customHeight="1" x14ac:dyDescent="0.35">
      <c r="C232" s="43" t="s">
        <v>254</v>
      </c>
      <c r="AG232" s="43" t="s">
        <v>602</v>
      </c>
    </row>
    <row r="233" spans="3:33" ht="15" customHeight="1" x14ac:dyDescent="0.35">
      <c r="C233" s="43" t="s">
        <v>214</v>
      </c>
      <c r="AG233" s="43" t="s">
        <v>574</v>
      </c>
    </row>
    <row r="234" spans="3:33" ht="15" customHeight="1" x14ac:dyDescent="0.35">
      <c r="C234" s="43" t="s">
        <v>51</v>
      </c>
      <c r="AG234" s="44" t="s">
        <v>428</v>
      </c>
    </row>
    <row r="235" spans="3:33" ht="15" customHeight="1" x14ac:dyDescent="0.35">
      <c r="C235" s="43" t="s">
        <v>405</v>
      </c>
      <c r="AG235" s="44" t="s">
        <v>446</v>
      </c>
    </row>
    <row r="236" spans="3:33" ht="15" customHeight="1" x14ac:dyDescent="0.35">
      <c r="C236" s="43" t="s">
        <v>409</v>
      </c>
      <c r="AG236" s="44" t="s">
        <v>423</v>
      </c>
    </row>
    <row r="237" spans="3:33" ht="15" customHeight="1" x14ac:dyDescent="0.35">
      <c r="C237" s="43" t="s">
        <v>392</v>
      </c>
      <c r="AG237" s="44" t="s">
        <v>441</v>
      </c>
    </row>
    <row r="238" spans="3:33" ht="15" customHeight="1" x14ac:dyDescent="0.35">
      <c r="C238" s="50" t="s">
        <v>266</v>
      </c>
      <c r="AG238" s="44" t="s">
        <v>622</v>
      </c>
    </row>
    <row r="239" spans="3:33" ht="15" customHeight="1" x14ac:dyDescent="0.35">
      <c r="C239" s="43" t="s">
        <v>396</v>
      </c>
      <c r="AG239" s="44" t="s">
        <v>433</v>
      </c>
    </row>
    <row r="240" spans="3:33" ht="15" customHeight="1" x14ac:dyDescent="0.35">
      <c r="C240" s="43" t="s">
        <v>278</v>
      </c>
      <c r="AG240" s="43" t="s">
        <v>598</v>
      </c>
    </row>
    <row r="241" spans="3:33" ht="15" customHeight="1" x14ac:dyDescent="0.35">
      <c r="C241" s="43" t="s">
        <v>559</v>
      </c>
      <c r="AG241" s="43" t="s">
        <v>610</v>
      </c>
    </row>
    <row r="242" spans="3:33" ht="15" customHeight="1" x14ac:dyDescent="0.35">
      <c r="C242" s="43" t="s">
        <v>593</v>
      </c>
      <c r="AG242" s="43" t="s">
        <v>720</v>
      </c>
    </row>
    <row r="243" spans="3:33" ht="15" customHeight="1" x14ac:dyDescent="0.35">
      <c r="C243" s="43" t="s">
        <v>605</v>
      </c>
      <c r="AG243" s="44" t="s">
        <v>451</v>
      </c>
    </row>
    <row r="244" spans="3:33" ht="15" customHeight="1" x14ac:dyDescent="0.35">
      <c r="C244" s="43" t="s">
        <v>715</v>
      </c>
      <c r="AG244" s="43" t="s">
        <v>687</v>
      </c>
    </row>
    <row r="245" spans="3:33" ht="15" customHeight="1" x14ac:dyDescent="0.35">
      <c r="C245" s="43" t="s">
        <v>578</v>
      </c>
      <c r="AG245" s="43" t="s">
        <v>695</v>
      </c>
    </row>
    <row r="246" spans="3:33" ht="15" customHeight="1" x14ac:dyDescent="0.35">
      <c r="C246" s="44" t="s">
        <v>619</v>
      </c>
      <c r="AG246" s="43" t="s">
        <v>688</v>
      </c>
    </row>
    <row r="247" spans="3:33" ht="15" customHeight="1" x14ac:dyDescent="0.35">
      <c r="C247" s="43" t="s">
        <v>554</v>
      </c>
      <c r="AG247" s="43" t="s">
        <v>696</v>
      </c>
    </row>
    <row r="248" spans="3:33" ht="15" customHeight="1" x14ac:dyDescent="0.35">
      <c r="C248" s="43" t="s">
        <v>589</v>
      </c>
      <c r="AG248" s="44" t="s">
        <v>533</v>
      </c>
    </row>
    <row r="249" spans="3:33" ht="15" customHeight="1" x14ac:dyDescent="0.35">
      <c r="C249" s="43" t="s">
        <v>601</v>
      </c>
      <c r="AG249" s="43" t="s">
        <v>59</v>
      </c>
    </row>
    <row r="250" spans="3:33" ht="15" customHeight="1" x14ac:dyDescent="0.35">
      <c r="C250" s="43" t="s">
        <v>573</v>
      </c>
      <c r="AG250" s="43" t="s">
        <v>675</v>
      </c>
    </row>
    <row r="251" spans="3:33" ht="15" customHeight="1" x14ac:dyDescent="0.35">
      <c r="C251" s="44" t="s">
        <v>429</v>
      </c>
      <c r="AG251" s="43" t="s">
        <v>648</v>
      </c>
    </row>
    <row r="252" spans="3:33" ht="15" customHeight="1" x14ac:dyDescent="0.35">
      <c r="C252" s="44" t="s">
        <v>447</v>
      </c>
      <c r="AG252" s="43" t="s">
        <v>316</v>
      </c>
    </row>
    <row r="253" spans="3:33" ht="15" customHeight="1" x14ac:dyDescent="0.35">
      <c r="C253" s="44" t="s">
        <v>424</v>
      </c>
      <c r="AG253" s="50" t="s">
        <v>181</v>
      </c>
    </row>
    <row r="254" spans="3:33" ht="15" customHeight="1" x14ac:dyDescent="0.35">
      <c r="C254" s="44" t="s">
        <v>442</v>
      </c>
      <c r="AG254" s="50" t="s">
        <v>206</v>
      </c>
    </row>
    <row r="255" spans="3:33" ht="15" customHeight="1" x14ac:dyDescent="0.35">
      <c r="C255" s="44" t="s">
        <v>623</v>
      </c>
      <c r="AG255" s="50" t="s">
        <v>269</v>
      </c>
    </row>
    <row r="256" spans="3:33" ht="15" customHeight="1" x14ac:dyDescent="0.35">
      <c r="C256" s="44" t="s">
        <v>434</v>
      </c>
      <c r="AG256" s="50" t="s">
        <v>233</v>
      </c>
    </row>
    <row r="257" spans="3:33" ht="15" customHeight="1" x14ac:dyDescent="0.35">
      <c r="C257" s="43" t="s">
        <v>597</v>
      </c>
      <c r="AG257" s="43" t="s">
        <v>325</v>
      </c>
    </row>
    <row r="258" spans="3:33" ht="15" customHeight="1" x14ac:dyDescent="0.35">
      <c r="C258" s="43" t="s">
        <v>609</v>
      </c>
      <c r="AG258" s="43" t="s">
        <v>196</v>
      </c>
    </row>
    <row r="259" spans="3:33" ht="15" customHeight="1" x14ac:dyDescent="0.35">
      <c r="C259" s="43" t="s">
        <v>719</v>
      </c>
      <c r="AG259" s="43" t="s">
        <v>217</v>
      </c>
    </row>
    <row r="260" spans="3:33" ht="15" customHeight="1" x14ac:dyDescent="0.35">
      <c r="C260" s="44" t="s">
        <v>452</v>
      </c>
      <c r="AG260" s="43" t="s">
        <v>281</v>
      </c>
    </row>
    <row r="261" spans="3:33" ht="15" customHeight="1" x14ac:dyDescent="0.35">
      <c r="C261" s="43" t="s">
        <v>689</v>
      </c>
      <c r="AG261" s="43" t="s">
        <v>669</v>
      </c>
    </row>
    <row r="262" spans="3:33" ht="15" customHeight="1" x14ac:dyDescent="0.35">
      <c r="C262" s="43" t="s">
        <v>697</v>
      </c>
      <c r="AG262" s="44" t="s">
        <v>483</v>
      </c>
    </row>
    <row r="263" spans="3:33" ht="15" customHeight="1" x14ac:dyDescent="0.35">
      <c r="C263" s="43" t="s">
        <v>690</v>
      </c>
      <c r="AG263" s="43" t="s">
        <v>651</v>
      </c>
    </row>
    <row r="264" spans="3:33" ht="15" customHeight="1" x14ac:dyDescent="0.35">
      <c r="C264" s="43" t="s">
        <v>698</v>
      </c>
      <c r="AG264" s="50" t="s">
        <v>891</v>
      </c>
    </row>
    <row r="265" spans="3:33" ht="15" customHeight="1" x14ac:dyDescent="0.35">
      <c r="C265" s="44" t="s">
        <v>486</v>
      </c>
      <c r="AG265" s="43" t="s">
        <v>634</v>
      </c>
    </row>
    <row r="266" spans="3:33" ht="15" customHeight="1" x14ac:dyDescent="0.35">
      <c r="C266" s="43" t="s">
        <v>61</v>
      </c>
      <c r="AG266" s="43" t="s">
        <v>660</v>
      </c>
    </row>
    <row r="267" spans="3:33" ht="15" customHeight="1" x14ac:dyDescent="0.35">
      <c r="C267" s="43" t="s">
        <v>676</v>
      </c>
      <c r="AG267" s="43" t="s">
        <v>670</v>
      </c>
    </row>
    <row r="268" spans="3:33" ht="15" customHeight="1" x14ac:dyDescent="0.35">
      <c r="C268" s="97" t="s">
        <v>649</v>
      </c>
      <c r="AG268" s="50" t="s">
        <v>126</v>
      </c>
    </row>
    <row r="269" spans="3:33" ht="15" customHeight="1" x14ac:dyDescent="0.35">
      <c r="C269" s="43" t="s">
        <v>317</v>
      </c>
      <c r="AG269" s="44" t="s">
        <v>538</v>
      </c>
    </row>
    <row r="270" spans="3:33" ht="15" customHeight="1" x14ac:dyDescent="0.35">
      <c r="C270" s="50" t="s">
        <v>182</v>
      </c>
      <c r="AG270" s="43" t="s">
        <v>639</v>
      </c>
    </row>
    <row r="271" spans="3:33" ht="15" customHeight="1" x14ac:dyDescent="0.35">
      <c r="C271" s="50" t="s">
        <v>207</v>
      </c>
      <c r="AG271" s="44" t="s">
        <v>113</v>
      </c>
    </row>
    <row r="272" spans="3:33" ht="15" customHeight="1" x14ac:dyDescent="0.35">
      <c r="C272" s="50" t="s">
        <v>270</v>
      </c>
      <c r="AG272" s="50" t="s">
        <v>176</v>
      </c>
    </row>
    <row r="273" spans="3:33" ht="15" customHeight="1" x14ac:dyDescent="0.35">
      <c r="C273" s="50" t="s">
        <v>234</v>
      </c>
      <c r="AG273" s="43" t="s">
        <v>191</v>
      </c>
    </row>
    <row r="274" spans="3:33" ht="15" customHeight="1" x14ac:dyDescent="0.35">
      <c r="C274" s="43" t="s">
        <v>326</v>
      </c>
      <c r="AG274" s="50" t="s">
        <v>229</v>
      </c>
    </row>
    <row r="275" spans="3:33" ht="15" customHeight="1" x14ac:dyDescent="0.35">
      <c r="C275" s="43" t="s">
        <v>197</v>
      </c>
      <c r="AG275" s="43" t="s">
        <v>90</v>
      </c>
    </row>
    <row r="276" spans="3:33" ht="15" customHeight="1" x14ac:dyDescent="0.35">
      <c r="C276" s="43" t="s">
        <v>218</v>
      </c>
      <c r="AG276" s="43" t="s">
        <v>312</v>
      </c>
    </row>
    <row r="277" spans="3:33" ht="15" customHeight="1" x14ac:dyDescent="0.35">
      <c r="C277" s="43" t="s">
        <v>282</v>
      </c>
      <c r="AG277" s="50" t="s">
        <v>245</v>
      </c>
    </row>
    <row r="278" spans="3:33" ht="15" customHeight="1" x14ac:dyDescent="0.35">
      <c r="C278" s="43" t="s">
        <v>653</v>
      </c>
      <c r="AG278" s="50" t="s">
        <v>201</v>
      </c>
    </row>
    <row r="279" spans="3:33" ht="15" customHeight="1" x14ac:dyDescent="0.35">
      <c r="C279" s="43" t="s">
        <v>636</v>
      </c>
      <c r="AG279" s="43" t="s">
        <v>321</v>
      </c>
    </row>
    <row r="280" spans="3:33" ht="15" customHeight="1" x14ac:dyDescent="0.35">
      <c r="C280" s="43" t="s">
        <v>663</v>
      </c>
      <c r="AG280" s="43" t="s">
        <v>252</v>
      </c>
    </row>
    <row r="281" spans="3:33" ht="15" customHeight="1" x14ac:dyDescent="0.35">
      <c r="C281" s="43" t="s">
        <v>671</v>
      </c>
      <c r="AG281" s="43" t="s">
        <v>212</v>
      </c>
    </row>
    <row r="282" spans="3:33" ht="15" customHeight="1" x14ac:dyDescent="0.35">
      <c r="C282" s="50" t="s">
        <v>127</v>
      </c>
      <c r="AG282" s="43" t="s">
        <v>44</v>
      </c>
    </row>
    <row r="283" spans="3:33" ht="15" customHeight="1" x14ac:dyDescent="0.35">
      <c r="C283" s="44" t="s">
        <v>537</v>
      </c>
      <c r="AG283" s="43" t="s">
        <v>403</v>
      </c>
    </row>
    <row r="284" spans="3:33" ht="15" customHeight="1" x14ac:dyDescent="0.35">
      <c r="C284" s="97" t="s">
        <v>641</v>
      </c>
      <c r="AG284" s="43" t="s">
        <v>407</v>
      </c>
    </row>
    <row r="285" spans="3:33" ht="15" customHeight="1" x14ac:dyDescent="0.35">
      <c r="C285" s="50" t="s">
        <v>177</v>
      </c>
      <c r="AG285" s="43" t="s">
        <v>390</v>
      </c>
    </row>
    <row r="286" spans="3:33" ht="15" customHeight="1" x14ac:dyDescent="0.35">
      <c r="C286" s="43" t="s">
        <v>192</v>
      </c>
      <c r="AG286" s="50" t="s">
        <v>264</v>
      </c>
    </row>
    <row r="287" spans="3:33" ht="15" customHeight="1" x14ac:dyDescent="0.35">
      <c r="C287" s="50" t="s">
        <v>230</v>
      </c>
      <c r="AG287" s="43" t="s">
        <v>394</v>
      </c>
    </row>
    <row r="288" spans="3:33" ht="15" customHeight="1" x14ac:dyDescent="0.35">
      <c r="C288" s="43" t="s">
        <v>91</v>
      </c>
      <c r="AG288" s="43" t="s">
        <v>275</v>
      </c>
    </row>
    <row r="289" spans="3:33" ht="15" customHeight="1" x14ac:dyDescent="0.35">
      <c r="C289" s="43" t="s">
        <v>313</v>
      </c>
      <c r="AG289" s="43" t="s">
        <v>561</v>
      </c>
    </row>
    <row r="290" spans="3:33" ht="15" customHeight="1" x14ac:dyDescent="0.35">
      <c r="C290" s="50" t="s">
        <v>246</v>
      </c>
      <c r="AG290" s="43" t="s">
        <v>595</v>
      </c>
    </row>
    <row r="291" spans="3:33" ht="15" customHeight="1" x14ac:dyDescent="0.35">
      <c r="C291" s="50" t="s">
        <v>202</v>
      </c>
      <c r="AG291" s="43" t="s">
        <v>607</v>
      </c>
    </row>
    <row r="292" spans="3:33" ht="15" customHeight="1" x14ac:dyDescent="0.35">
      <c r="C292" s="43" t="s">
        <v>322</v>
      </c>
      <c r="AG292" s="43" t="s">
        <v>717</v>
      </c>
    </row>
    <row r="293" spans="3:33" ht="15" customHeight="1" x14ac:dyDescent="0.35">
      <c r="C293" s="43" t="s">
        <v>253</v>
      </c>
      <c r="AG293" s="43" t="s">
        <v>580</v>
      </c>
    </row>
    <row r="294" spans="3:33" ht="15" customHeight="1" x14ac:dyDescent="0.35">
      <c r="C294" s="43" t="s">
        <v>213</v>
      </c>
      <c r="AG294" s="44" t="s">
        <v>617</v>
      </c>
    </row>
    <row r="295" spans="3:33" ht="15" customHeight="1" x14ac:dyDescent="0.35">
      <c r="C295" s="43" t="s">
        <v>49</v>
      </c>
      <c r="AG295" s="43" t="s">
        <v>556</v>
      </c>
    </row>
    <row r="296" spans="3:33" ht="15" customHeight="1" x14ac:dyDescent="0.35">
      <c r="C296" s="43" t="s">
        <v>404</v>
      </c>
      <c r="AG296" s="43" t="s">
        <v>591</v>
      </c>
    </row>
    <row r="297" spans="3:33" ht="15" customHeight="1" x14ac:dyDescent="0.35">
      <c r="C297" s="43" t="s">
        <v>408</v>
      </c>
      <c r="AG297" s="43" t="s">
        <v>603</v>
      </c>
    </row>
    <row r="298" spans="3:33" ht="15" customHeight="1" x14ac:dyDescent="0.35">
      <c r="C298" s="43" t="s">
        <v>391</v>
      </c>
      <c r="AG298" s="43" t="s">
        <v>575</v>
      </c>
    </row>
    <row r="299" spans="3:33" ht="15" customHeight="1" x14ac:dyDescent="0.35">
      <c r="C299" s="50" t="s">
        <v>265</v>
      </c>
      <c r="AG299" s="44" t="s">
        <v>427</v>
      </c>
    </row>
    <row r="300" spans="3:33" ht="15" customHeight="1" x14ac:dyDescent="0.35">
      <c r="C300" s="43" t="s">
        <v>395</v>
      </c>
      <c r="AG300" s="44" t="s">
        <v>445</v>
      </c>
    </row>
    <row r="301" spans="3:33" ht="15" customHeight="1" x14ac:dyDescent="0.35">
      <c r="C301" s="43" t="s">
        <v>277</v>
      </c>
      <c r="AG301" s="44" t="s">
        <v>422</v>
      </c>
    </row>
    <row r="302" spans="3:33" ht="15" customHeight="1" x14ac:dyDescent="0.35">
      <c r="C302" s="43" t="s">
        <v>560</v>
      </c>
      <c r="AG302" s="44" t="s">
        <v>440</v>
      </c>
    </row>
    <row r="303" spans="3:33" ht="15" customHeight="1" x14ac:dyDescent="0.35">
      <c r="C303" s="43" t="s">
        <v>594</v>
      </c>
      <c r="AG303" s="44" t="s">
        <v>621</v>
      </c>
    </row>
    <row r="304" spans="3:33" ht="15" customHeight="1" x14ac:dyDescent="0.35">
      <c r="C304" s="43" t="s">
        <v>606</v>
      </c>
      <c r="AG304" s="44" t="s">
        <v>432</v>
      </c>
    </row>
    <row r="305" spans="3:33" ht="15" customHeight="1" x14ac:dyDescent="0.35">
      <c r="C305" s="43" t="s">
        <v>716</v>
      </c>
      <c r="AG305" s="43" t="s">
        <v>599</v>
      </c>
    </row>
    <row r="306" spans="3:33" ht="15" customHeight="1" x14ac:dyDescent="0.35">
      <c r="C306" s="43" t="s">
        <v>579</v>
      </c>
      <c r="AG306" s="43" t="s">
        <v>611</v>
      </c>
    </row>
    <row r="307" spans="3:33" ht="15" customHeight="1" x14ac:dyDescent="0.35">
      <c r="C307" s="44" t="s">
        <v>618</v>
      </c>
      <c r="AG307" s="43" t="s">
        <v>721</v>
      </c>
    </row>
    <row r="308" spans="3:33" ht="15" customHeight="1" x14ac:dyDescent="0.35">
      <c r="C308" s="43" t="s">
        <v>555</v>
      </c>
      <c r="AG308" s="44" t="s">
        <v>450</v>
      </c>
    </row>
    <row r="309" spans="3:33" ht="15" customHeight="1" x14ac:dyDescent="0.35">
      <c r="C309" s="43" t="s">
        <v>590</v>
      </c>
      <c r="AG309" s="43" t="s">
        <v>685</v>
      </c>
    </row>
    <row r="310" spans="3:33" ht="15" customHeight="1" x14ac:dyDescent="0.35">
      <c r="C310" s="43" t="s">
        <v>602</v>
      </c>
      <c r="AG310" s="43" t="s">
        <v>693</v>
      </c>
    </row>
    <row r="311" spans="3:33" ht="15" customHeight="1" x14ac:dyDescent="0.35">
      <c r="C311" s="43" t="s">
        <v>574</v>
      </c>
      <c r="AG311" s="43" t="s">
        <v>686</v>
      </c>
    </row>
    <row r="312" spans="3:33" ht="15" customHeight="1" x14ac:dyDescent="0.35">
      <c r="C312" s="44" t="s">
        <v>428</v>
      </c>
      <c r="AG312" s="43" t="s">
        <v>694</v>
      </c>
    </row>
    <row r="313" spans="3:33" ht="15" customHeight="1" x14ac:dyDescent="0.35">
      <c r="C313" s="44" t="s">
        <v>446</v>
      </c>
      <c r="AG313" s="44" t="s">
        <v>116</v>
      </c>
    </row>
    <row r="314" spans="3:33" ht="15" customHeight="1" x14ac:dyDescent="0.35">
      <c r="C314" s="44" t="s">
        <v>423</v>
      </c>
      <c r="AG314" s="43" t="s">
        <v>57</v>
      </c>
    </row>
    <row r="315" spans="3:33" ht="15" customHeight="1" x14ac:dyDescent="0.35">
      <c r="C315" s="44" t="s">
        <v>441</v>
      </c>
      <c r="AG315" s="43" t="s">
        <v>674</v>
      </c>
    </row>
    <row r="316" spans="3:33" ht="15" customHeight="1" x14ac:dyDescent="0.35">
      <c r="C316" s="44" t="s">
        <v>622</v>
      </c>
      <c r="AG316" s="43" t="s">
        <v>647</v>
      </c>
    </row>
    <row r="317" spans="3:33" ht="15" customHeight="1" x14ac:dyDescent="0.35">
      <c r="C317" s="44" t="s">
        <v>433</v>
      </c>
      <c r="AG317" s="43" t="s">
        <v>315</v>
      </c>
    </row>
    <row r="318" spans="3:33" ht="15" customHeight="1" x14ac:dyDescent="0.35">
      <c r="C318" s="43" t="s">
        <v>598</v>
      </c>
      <c r="AG318" s="50" t="s">
        <v>180</v>
      </c>
    </row>
    <row r="319" spans="3:33" ht="15" customHeight="1" x14ac:dyDescent="0.35">
      <c r="C319" s="43" t="s">
        <v>610</v>
      </c>
      <c r="AG319" s="50" t="s">
        <v>205</v>
      </c>
    </row>
    <row r="320" spans="3:33" ht="15" customHeight="1" x14ac:dyDescent="0.35">
      <c r="C320" s="43" t="s">
        <v>720</v>
      </c>
      <c r="AG320" s="50" t="s">
        <v>268</v>
      </c>
    </row>
    <row r="321" spans="3:33" ht="15" customHeight="1" x14ac:dyDescent="0.35">
      <c r="C321" s="44" t="s">
        <v>451</v>
      </c>
      <c r="AG321" s="50" t="s">
        <v>232</v>
      </c>
    </row>
    <row r="322" spans="3:33" ht="15" customHeight="1" x14ac:dyDescent="0.35">
      <c r="C322" s="43" t="s">
        <v>687</v>
      </c>
      <c r="AG322" s="43" t="s">
        <v>324</v>
      </c>
    </row>
    <row r="323" spans="3:33" ht="15" customHeight="1" x14ac:dyDescent="0.35">
      <c r="C323" s="43" t="s">
        <v>695</v>
      </c>
      <c r="AG323" s="43" t="s">
        <v>195</v>
      </c>
    </row>
    <row r="324" spans="3:33" ht="15" customHeight="1" x14ac:dyDescent="0.35">
      <c r="C324" s="43" t="s">
        <v>688</v>
      </c>
      <c r="AG324" s="43" t="s">
        <v>216</v>
      </c>
    </row>
    <row r="325" spans="3:33" ht="15" customHeight="1" x14ac:dyDescent="0.35">
      <c r="C325" s="43" t="s">
        <v>696</v>
      </c>
      <c r="AG325" s="43" t="s">
        <v>280</v>
      </c>
    </row>
    <row r="326" spans="3:33" ht="15" customHeight="1" x14ac:dyDescent="0.35">
      <c r="C326" s="44" t="s">
        <v>533</v>
      </c>
      <c r="AG326" s="43" t="s">
        <v>864</v>
      </c>
    </row>
    <row r="327" spans="3:33" ht="15" customHeight="1" x14ac:dyDescent="0.35">
      <c r="C327" s="43" t="s">
        <v>59</v>
      </c>
      <c r="AG327" s="50" t="s">
        <v>869</v>
      </c>
    </row>
    <row r="328" spans="3:33" ht="15" customHeight="1" x14ac:dyDescent="0.35">
      <c r="C328" s="43" t="s">
        <v>675</v>
      </c>
      <c r="AG328" s="50" t="s">
        <v>868</v>
      </c>
    </row>
    <row r="329" spans="3:33" ht="15" customHeight="1" x14ac:dyDescent="0.35">
      <c r="C329" s="43" t="s">
        <v>648</v>
      </c>
      <c r="AG329" s="50" t="s">
        <v>867</v>
      </c>
    </row>
    <row r="330" spans="3:33" ht="15" customHeight="1" x14ac:dyDescent="0.35">
      <c r="C330" s="43" t="s">
        <v>316</v>
      </c>
      <c r="AG330" s="43" t="s">
        <v>863</v>
      </c>
    </row>
    <row r="331" spans="3:33" ht="15" customHeight="1" x14ac:dyDescent="0.35">
      <c r="C331" s="50" t="s">
        <v>181</v>
      </c>
      <c r="AG331" s="43" t="s">
        <v>911</v>
      </c>
    </row>
    <row r="332" spans="3:33" ht="15" customHeight="1" x14ac:dyDescent="0.35">
      <c r="C332" s="50" t="s">
        <v>206</v>
      </c>
      <c r="AG332" s="43" t="s">
        <v>916</v>
      </c>
    </row>
    <row r="333" spans="3:33" ht="15" customHeight="1" x14ac:dyDescent="0.35">
      <c r="C333" s="50" t="s">
        <v>269</v>
      </c>
      <c r="AG333" s="43" t="s">
        <v>912</v>
      </c>
    </row>
    <row r="334" spans="3:33" ht="15" customHeight="1" x14ac:dyDescent="0.35">
      <c r="C334" s="50" t="s">
        <v>233</v>
      </c>
      <c r="AG334" s="43" t="s">
        <v>917</v>
      </c>
    </row>
    <row r="335" spans="3:33" ht="15" customHeight="1" x14ac:dyDescent="0.35">
      <c r="C335" s="43" t="s">
        <v>325</v>
      </c>
      <c r="AG335" s="43" t="s">
        <v>913</v>
      </c>
    </row>
    <row r="336" spans="3:33" ht="15" customHeight="1" x14ac:dyDescent="0.35">
      <c r="C336" s="43" t="s">
        <v>196</v>
      </c>
      <c r="AG336" s="43" t="s">
        <v>918</v>
      </c>
    </row>
    <row r="337" spans="3:33" ht="15" customHeight="1" x14ac:dyDescent="0.35">
      <c r="C337" s="43" t="s">
        <v>217</v>
      </c>
      <c r="AG337" s="43" t="s">
        <v>909</v>
      </c>
    </row>
    <row r="338" spans="3:33" ht="15" customHeight="1" x14ac:dyDescent="0.35">
      <c r="C338" s="43" t="s">
        <v>281</v>
      </c>
      <c r="AG338" s="43" t="s">
        <v>914</v>
      </c>
    </row>
    <row r="339" spans="3:33" ht="15" customHeight="1" x14ac:dyDescent="0.35">
      <c r="C339" s="43" t="s">
        <v>669</v>
      </c>
      <c r="AG339" s="43" t="s">
        <v>910</v>
      </c>
    </row>
    <row r="340" spans="3:33" ht="15" customHeight="1" x14ac:dyDescent="0.35">
      <c r="C340" s="44" t="s">
        <v>483</v>
      </c>
      <c r="AG340" s="43" t="s">
        <v>915</v>
      </c>
    </row>
    <row r="341" spans="3:33" ht="15" customHeight="1" x14ac:dyDescent="0.35">
      <c r="C341" s="43" t="s">
        <v>651</v>
      </c>
      <c r="AG341" s="43" t="s">
        <v>520</v>
      </c>
    </row>
    <row r="342" spans="3:33" ht="15" customHeight="1" x14ac:dyDescent="0.35">
      <c r="C342" s="50" t="s">
        <v>891</v>
      </c>
      <c r="AG342" s="43" t="s">
        <v>990</v>
      </c>
    </row>
    <row r="343" spans="3:33" ht="15" customHeight="1" x14ac:dyDescent="0.35">
      <c r="C343" s="43" t="s">
        <v>634</v>
      </c>
      <c r="AG343" s="43" t="s">
        <v>991</v>
      </c>
    </row>
    <row r="344" spans="3:33" ht="15" customHeight="1" x14ac:dyDescent="0.35">
      <c r="C344" s="43" t="s">
        <v>660</v>
      </c>
      <c r="AG344" s="43" t="s">
        <v>992</v>
      </c>
    </row>
    <row r="345" spans="3:33" ht="15" customHeight="1" x14ac:dyDescent="0.35">
      <c r="C345" s="43" t="s">
        <v>670</v>
      </c>
      <c r="AG345" s="43" t="s">
        <v>988</v>
      </c>
    </row>
    <row r="346" spans="3:33" ht="15" customHeight="1" x14ac:dyDescent="0.35">
      <c r="C346" s="50" t="s">
        <v>126</v>
      </c>
      <c r="AG346" s="43" t="s">
        <v>989</v>
      </c>
    </row>
    <row r="347" spans="3:33" ht="15" customHeight="1" x14ac:dyDescent="0.35">
      <c r="C347" s="44" t="s">
        <v>538</v>
      </c>
      <c r="AG347" s="50" t="s">
        <v>866</v>
      </c>
    </row>
    <row r="348" spans="3:33" ht="15" customHeight="1" x14ac:dyDescent="0.35">
      <c r="C348" s="43" t="s">
        <v>639</v>
      </c>
      <c r="AG348" s="43" t="s">
        <v>862</v>
      </c>
    </row>
    <row r="349" spans="3:33" ht="15" customHeight="1" x14ac:dyDescent="0.35">
      <c r="C349" s="44" t="s">
        <v>113</v>
      </c>
      <c r="AG349" s="43" t="s">
        <v>931</v>
      </c>
    </row>
    <row r="350" spans="3:33" ht="15" customHeight="1" x14ac:dyDescent="0.35">
      <c r="C350" s="50" t="s">
        <v>176</v>
      </c>
      <c r="AG350" s="43" t="s">
        <v>942</v>
      </c>
    </row>
    <row r="351" spans="3:33" ht="15" customHeight="1" x14ac:dyDescent="0.35">
      <c r="C351" s="43" t="s">
        <v>191</v>
      </c>
      <c r="AG351" s="43" t="s">
        <v>943</v>
      </c>
    </row>
    <row r="352" spans="3:33" ht="15" customHeight="1" x14ac:dyDescent="0.35">
      <c r="C352" s="50" t="s">
        <v>229</v>
      </c>
      <c r="AG352" s="43" t="s">
        <v>922</v>
      </c>
    </row>
    <row r="353" spans="3:33" ht="15" customHeight="1" x14ac:dyDescent="0.35">
      <c r="C353" s="43" t="s">
        <v>90</v>
      </c>
      <c r="AG353" s="43" t="s">
        <v>923</v>
      </c>
    </row>
    <row r="354" spans="3:33" ht="15" customHeight="1" x14ac:dyDescent="0.35">
      <c r="C354" s="43" t="s">
        <v>312</v>
      </c>
      <c r="AG354" s="43" t="s">
        <v>924</v>
      </c>
    </row>
    <row r="355" spans="3:33" ht="15" customHeight="1" x14ac:dyDescent="0.35">
      <c r="C355" s="50" t="s">
        <v>245</v>
      </c>
      <c r="AG355" s="43" t="s">
        <v>920</v>
      </c>
    </row>
    <row r="356" spans="3:33" ht="15" customHeight="1" x14ac:dyDescent="0.35">
      <c r="C356" s="50" t="s">
        <v>201</v>
      </c>
      <c r="AG356" s="43" t="s">
        <v>921</v>
      </c>
    </row>
    <row r="357" spans="3:33" ht="15" customHeight="1" x14ac:dyDescent="0.35">
      <c r="C357" s="43" t="s">
        <v>321</v>
      </c>
      <c r="AG357" s="50" t="s">
        <v>937</v>
      </c>
    </row>
    <row r="358" spans="3:33" ht="15" customHeight="1" x14ac:dyDescent="0.35">
      <c r="C358" s="43" t="s">
        <v>252</v>
      </c>
      <c r="AG358" s="50" t="s">
        <v>936</v>
      </c>
    </row>
    <row r="359" spans="3:33" ht="15" customHeight="1" x14ac:dyDescent="0.35">
      <c r="C359" s="43" t="s">
        <v>212</v>
      </c>
      <c r="AG359" s="50" t="s">
        <v>893</v>
      </c>
    </row>
    <row r="360" spans="3:33" ht="15" customHeight="1" x14ac:dyDescent="0.35">
      <c r="C360" s="43" t="s">
        <v>44</v>
      </c>
      <c r="AG360" s="44" t="s">
        <v>534</v>
      </c>
    </row>
    <row r="361" spans="3:33" ht="15" customHeight="1" x14ac:dyDescent="0.35">
      <c r="C361" s="43" t="s">
        <v>403</v>
      </c>
      <c r="AG361" s="44" t="s">
        <v>106</v>
      </c>
    </row>
    <row r="362" spans="3:33" ht="15" customHeight="1" x14ac:dyDescent="0.35">
      <c r="C362" s="43" t="s">
        <v>407</v>
      </c>
      <c r="AG362" s="50" t="s">
        <v>55</v>
      </c>
    </row>
    <row r="363" spans="3:33" ht="15" customHeight="1" x14ac:dyDescent="0.35">
      <c r="C363" s="43" t="s">
        <v>390</v>
      </c>
      <c r="AG363" s="43" t="s">
        <v>557</v>
      </c>
    </row>
    <row r="364" spans="3:33" ht="15" customHeight="1" x14ac:dyDescent="0.35">
      <c r="C364" s="50" t="s">
        <v>264</v>
      </c>
      <c r="AG364" s="43" t="s">
        <v>576</v>
      </c>
    </row>
    <row r="365" spans="3:33" ht="15" customHeight="1" x14ac:dyDescent="0.35">
      <c r="C365" s="43" t="s">
        <v>394</v>
      </c>
      <c r="AG365" s="43" t="s">
        <v>552</v>
      </c>
    </row>
    <row r="366" spans="3:33" ht="15" customHeight="1" x14ac:dyDescent="0.35">
      <c r="C366" s="43" t="s">
        <v>275</v>
      </c>
      <c r="AG366" s="43" t="s">
        <v>571</v>
      </c>
    </row>
    <row r="367" spans="3:33" ht="15" customHeight="1" x14ac:dyDescent="0.35">
      <c r="C367" s="43" t="s">
        <v>561</v>
      </c>
      <c r="AG367" s="44" t="s">
        <v>431</v>
      </c>
    </row>
    <row r="368" spans="3:33" ht="15" customHeight="1" x14ac:dyDescent="0.35">
      <c r="C368" s="43" t="s">
        <v>595</v>
      </c>
      <c r="AG368" s="44" t="s">
        <v>449</v>
      </c>
    </row>
    <row r="369" spans="3:33" ht="15" customHeight="1" x14ac:dyDescent="0.35">
      <c r="C369" s="43" t="s">
        <v>607</v>
      </c>
      <c r="AG369" s="44" t="s">
        <v>426</v>
      </c>
    </row>
    <row r="370" spans="3:33" ht="15" customHeight="1" x14ac:dyDescent="0.35">
      <c r="C370" s="43" t="s">
        <v>717</v>
      </c>
      <c r="AG370" s="44" t="s">
        <v>444</v>
      </c>
    </row>
    <row r="371" spans="3:33" ht="15" customHeight="1" x14ac:dyDescent="0.35">
      <c r="C371" s="43" t="s">
        <v>580</v>
      </c>
      <c r="AG371" s="44" t="s">
        <v>436</v>
      </c>
    </row>
    <row r="372" spans="3:33" ht="15" customHeight="1" x14ac:dyDescent="0.35">
      <c r="C372" s="44" t="s">
        <v>617</v>
      </c>
      <c r="AG372" s="44" t="s">
        <v>454</v>
      </c>
    </row>
    <row r="373" spans="3:33" ht="15" customHeight="1" x14ac:dyDescent="0.35">
      <c r="C373" s="43" t="s">
        <v>556</v>
      </c>
      <c r="AG373" s="44" t="s">
        <v>532</v>
      </c>
    </row>
    <row r="374" spans="3:33" ht="15" customHeight="1" x14ac:dyDescent="0.35">
      <c r="C374" s="43" t="s">
        <v>591</v>
      </c>
      <c r="AG374" s="43" t="s">
        <v>65</v>
      </c>
    </row>
    <row r="375" spans="3:33" ht="15" customHeight="1" x14ac:dyDescent="0.35">
      <c r="C375" s="43" t="s">
        <v>603</v>
      </c>
      <c r="AG375" s="50" t="s">
        <v>871</v>
      </c>
    </row>
    <row r="376" spans="3:33" ht="15" customHeight="1" x14ac:dyDescent="0.35">
      <c r="C376" s="43" t="s">
        <v>575</v>
      </c>
      <c r="AG376" s="97" t="s">
        <v>655</v>
      </c>
    </row>
    <row r="377" spans="3:33" ht="15" customHeight="1" x14ac:dyDescent="0.35">
      <c r="C377" s="44" t="s">
        <v>427</v>
      </c>
      <c r="AG377" s="43" t="s">
        <v>638</v>
      </c>
    </row>
    <row r="378" spans="3:33" ht="15" customHeight="1" x14ac:dyDescent="0.35">
      <c r="C378" s="44" t="s">
        <v>445</v>
      </c>
      <c r="AG378" s="43" t="s">
        <v>667</v>
      </c>
    </row>
    <row r="379" spans="3:33" ht="15" customHeight="1" x14ac:dyDescent="0.35">
      <c r="C379" s="44" t="s">
        <v>422</v>
      </c>
      <c r="AG379" s="43" t="s">
        <v>673</v>
      </c>
    </row>
    <row r="380" spans="3:33" ht="15" customHeight="1" x14ac:dyDescent="0.35">
      <c r="C380" s="44" t="s">
        <v>440</v>
      </c>
      <c r="AG380" s="50" t="s">
        <v>131</v>
      </c>
    </row>
    <row r="381" spans="3:33" ht="15" customHeight="1" x14ac:dyDescent="0.35">
      <c r="C381" s="44" t="s">
        <v>621</v>
      </c>
      <c r="AG381" s="44" t="s">
        <v>535</v>
      </c>
    </row>
    <row r="382" spans="3:33" ht="15" customHeight="1" x14ac:dyDescent="0.35">
      <c r="C382" s="44" t="s">
        <v>432</v>
      </c>
      <c r="AG382" s="43" t="s">
        <v>645</v>
      </c>
    </row>
    <row r="383" spans="3:33" ht="15" customHeight="1" x14ac:dyDescent="0.35">
      <c r="C383" s="43" t="s">
        <v>599</v>
      </c>
      <c r="AG383" s="44" t="s">
        <v>109</v>
      </c>
    </row>
    <row r="384" spans="3:33" ht="15" customHeight="1" x14ac:dyDescent="0.35">
      <c r="C384" s="43" t="s">
        <v>611</v>
      </c>
      <c r="AG384" s="50" t="s">
        <v>179</v>
      </c>
    </row>
    <row r="385" spans="3:33" ht="15" customHeight="1" x14ac:dyDescent="0.35">
      <c r="C385" s="43" t="s">
        <v>721</v>
      </c>
      <c r="AG385" s="43" t="s">
        <v>194</v>
      </c>
    </row>
    <row r="386" spans="3:33" ht="15" customHeight="1" x14ac:dyDescent="0.35">
      <c r="C386" s="44" t="s">
        <v>450</v>
      </c>
      <c r="AG386" s="50" t="s">
        <v>93</v>
      </c>
    </row>
    <row r="387" spans="3:33" ht="15" customHeight="1" x14ac:dyDescent="0.35">
      <c r="C387" s="43" t="s">
        <v>685</v>
      </c>
      <c r="AG387" s="43" t="s">
        <v>338</v>
      </c>
    </row>
    <row r="388" spans="3:33" ht="15" customHeight="1" x14ac:dyDescent="0.35">
      <c r="C388" s="43" t="s">
        <v>693</v>
      </c>
      <c r="AG388" s="50" t="s">
        <v>248</v>
      </c>
    </row>
    <row r="389" spans="3:33" ht="15" customHeight="1" x14ac:dyDescent="0.35">
      <c r="C389" s="43" t="s">
        <v>686</v>
      </c>
      <c r="AG389" s="50" t="s">
        <v>204</v>
      </c>
    </row>
    <row r="390" spans="3:33" ht="15" customHeight="1" x14ac:dyDescent="0.35">
      <c r="C390" s="43" t="s">
        <v>694</v>
      </c>
      <c r="AG390" s="43" t="s">
        <v>345</v>
      </c>
    </row>
    <row r="391" spans="3:33" ht="15" customHeight="1" x14ac:dyDescent="0.35">
      <c r="C391" s="44" t="s">
        <v>116</v>
      </c>
      <c r="AG391" s="43" t="s">
        <v>255</v>
      </c>
    </row>
    <row r="392" spans="3:33" ht="15" customHeight="1" x14ac:dyDescent="0.35">
      <c r="C392" s="43" t="s">
        <v>57</v>
      </c>
      <c r="AG392" s="43" t="s">
        <v>215</v>
      </c>
    </row>
    <row r="393" spans="3:33" ht="15" customHeight="1" x14ac:dyDescent="0.35">
      <c r="C393" s="43" t="s">
        <v>674</v>
      </c>
      <c r="AG393" s="50" t="s">
        <v>53</v>
      </c>
    </row>
    <row r="394" spans="3:33" ht="15" customHeight="1" x14ac:dyDescent="0.35">
      <c r="C394" s="43" t="s">
        <v>647</v>
      </c>
      <c r="AG394" s="43" t="s">
        <v>406</v>
      </c>
    </row>
    <row r="395" spans="3:33" ht="15" customHeight="1" x14ac:dyDescent="0.35">
      <c r="C395" s="43" t="s">
        <v>315</v>
      </c>
      <c r="AG395" s="43" t="s">
        <v>410</v>
      </c>
    </row>
    <row r="396" spans="3:33" ht="15" customHeight="1" x14ac:dyDescent="0.35">
      <c r="C396" s="50" t="s">
        <v>180</v>
      </c>
      <c r="AG396" s="43" t="s">
        <v>393</v>
      </c>
    </row>
    <row r="397" spans="3:33" ht="15" customHeight="1" x14ac:dyDescent="0.35">
      <c r="C397" s="50" t="s">
        <v>205</v>
      </c>
      <c r="AG397" s="50" t="s">
        <v>267</v>
      </c>
    </row>
    <row r="398" spans="3:33" ht="15" customHeight="1" x14ac:dyDescent="0.35">
      <c r="C398" s="50" t="s">
        <v>268</v>
      </c>
      <c r="AG398" s="43" t="s">
        <v>397</v>
      </c>
    </row>
    <row r="399" spans="3:33" ht="15" customHeight="1" x14ac:dyDescent="0.35">
      <c r="C399" s="50" t="s">
        <v>232</v>
      </c>
      <c r="AG399" s="43" t="s">
        <v>279</v>
      </c>
    </row>
    <row r="400" spans="3:33" ht="15" customHeight="1" x14ac:dyDescent="0.35">
      <c r="C400" s="43" t="s">
        <v>324</v>
      </c>
      <c r="AG400" s="43" t="s">
        <v>558</v>
      </c>
    </row>
    <row r="401" spans="3:33" ht="15" customHeight="1" x14ac:dyDescent="0.35">
      <c r="C401" s="43" t="s">
        <v>195</v>
      </c>
      <c r="AG401" s="43" t="s">
        <v>592</v>
      </c>
    </row>
    <row r="402" spans="3:33" ht="15" customHeight="1" x14ac:dyDescent="0.35">
      <c r="C402" s="43" t="s">
        <v>216</v>
      </c>
      <c r="AG402" s="43" t="s">
        <v>604</v>
      </c>
    </row>
    <row r="403" spans="3:33" ht="15" customHeight="1" x14ac:dyDescent="0.35">
      <c r="C403" s="43" t="s">
        <v>280</v>
      </c>
      <c r="AG403" s="43" t="s">
        <v>577</v>
      </c>
    </row>
    <row r="404" spans="3:33" ht="15" customHeight="1" x14ac:dyDescent="0.35">
      <c r="C404" s="43" t="s">
        <v>864</v>
      </c>
      <c r="AG404" s="44" t="s">
        <v>620</v>
      </c>
    </row>
    <row r="405" spans="3:33" ht="15" customHeight="1" x14ac:dyDescent="0.35">
      <c r="C405" s="50" t="s">
        <v>869</v>
      </c>
      <c r="AG405" s="43" t="s">
        <v>553</v>
      </c>
    </row>
    <row r="406" spans="3:33" ht="15" customHeight="1" x14ac:dyDescent="0.35">
      <c r="C406" s="50" t="s">
        <v>868</v>
      </c>
      <c r="AG406" s="43" t="s">
        <v>588</v>
      </c>
    </row>
    <row r="407" spans="3:33" ht="15" customHeight="1" x14ac:dyDescent="0.35">
      <c r="C407" s="50" t="s">
        <v>867</v>
      </c>
      <c r="AG407" s="43" t="s">
        <v>600</v>
      </c>
    </row>
    <row r="408" spans="3:33" ht="15" customHeight="1" x14ac:dyDescent="0.35">
      <c r="C408" s="43" t="s">
        <v>863</v>
      </c>
      <c r="AG408" s="43" t="s">
        <v>572</v>
      </c>
    </row>
    <row r="409" spans="3:33" ht="15" customHeight="1" x14ac:dyDescent="0.35">
      <c r="C409" s="43" t="s">
        <v>911</v>
      </c>
      <c r="AG409" s="44" t="s">
        <v>430</v>
      </c>
    </row>
    <row r="410" spans="3:33" ht="15" customHeight="1" x14ac:dyDescent="0.35">
      <c r="C410" s="43" t="s">
        <v>916</v>
      </c>
      <c r="AG410" s="44" t="s">
        <v>448</v>
      </c>
    </row>
    <row r="411" spans="3:33" ht="15" customHeight="1" x14ac:dyDescent="0.35">
      <c r="C411" s="43" t="s">
        <v>912</v>
      </c>
      <c r="AG411" s="44" t="s">
        <v>425</v>
      </c>
    </row>
    <row r="412" spans="3:33" ht="15" customHeight="1" x14ac:dyDescent="0.35">
      <c r="C412" s="43" t="s">
        <v>917</v>
      </c>
      <c r="AG412" s="44" t="s">
        <v>443</v>
      </c>
    </row>
    <row r="413" spans="3:33" ht="15" customHeight="1" x14ac:dyDescent="0.35">
      <c r="C413" s="43" t="s">
        <v>913</v>
      </c>
      <c r="AG413" s="44" t="s">
        <v>624</v>
      </c>
    </row>
    <row r="414" spans="3:33" ht="15" customHeight="1" x14ac:dyDescent="0.35">
      <c r="C414" s="43" t="s">
        <v>918</v>
      </c>
      <c r="AG414" s="44" t="s">
        <v>435</v>
      </c>
    </row>
    <row r="415" spans="3:33" ht="15" customHeight="1" x14ac:dyDescent="0.35">
      <c r="C415" s="43" t="s">
        <v>909</v>
      </c>
      <c r="AG415" s="43" t="s">
        <v>596</v>
      </c>
    </row>
    <row r="416" spans="3:33" ht="15" customHeight="1" x14ac:dyDescent="0.35">
      <c r="C416" s="43" t="s">
        <v>914</v>
      </c>
      <c r="AG416" s="43" t="s">
        <v>608</v>
      </c>
    </row>
    <row r="417" spans="3:33" ht="15" customHeight="1" x14ac:dyDescent="0.35">
      <c r="C417" s="43" t="s">
        <v>910</v>
      </c>
      <c r="AG417" s="44" t="s">
        <v>453</v>
      </c>
    </row>
    <row r="418" spans="3:33" ht="15" customHeight="1" x14ac:dyDescent="0.35">
      <c r="C418" s="43" t="s">
        <v>915</v>
      </c>
      <c r="AG418" s="43" t="s">
        <v>691</v>
      </c>
    </row>
    <row r="419" spans="3:33" ht="15" customHeight="1" x14ac:dyDescent="0.35">
      <c r="C419" s="43" t="s">
        <v>520</v>
      </c>
      <c r="AG419" s="43" t="s">
        <v>699</v>
      </c>
    </row>
    <row r="420" spans="3:33" ht="15" customHeight="1" x14ac:dyDescent="0.35">
      <c r="C420" s="43" t="s">
        <v>990</v>
      </c>
      <c r="AG420" s="43" t="s">
        <v>692</v>
      </c>
    </row>
    <row r="421" spans="3:33" ht="15" customHeight="1" x14ac:dyDescent="0.35">
      <c r="C421" s="43" t="s">
        <v>991</v>
      </c>
      <c r="AG421" s="43" t="s">
        <v>700</v>
      </c>
    </row>
    <row r="422" spans="3:33" ht="15" customHeight="1" x14ac:dyDescent="0.35">
      <c r="C422" s="43" t="s">
        <v>992</v>
      </c>
      <c r="AG422" s="44" t="s">
        <v>115</v>
      </c>
    </row>
    <row r="423" spans="3:33" ht="15" customHeight="1" x14ac:dyDescent="0.35">
      <c r="C423" s="43" t="s">
        <v>988</v>
      </c>
      <c r="AG423" s="43" t="s">
        <v>63</v>
      </c>
    </row>
    <row r="424" spans="3:33" ht="15" customHeight="1" x14ac:dyDescent="0.35">
      <c r="C424" s="43" t="s">
        <v>989</v>
      </c>
      <c r="AG424" s="43" t="s">
        <v>677</v>
      </c>
    </row>
    <row r="425" spans="3:33" ht="15" customHeight="1" x14ac:dyDescent="0.35">
      <c r="C425" s="50" t="s">
        <v>866</v>
      </c>
      <c r="AG425" s="43" t="s">
        <v>650</v>
      </c>
    </row>
    <row r="426" spans="3:33" ht="15" customHeight="1" x14ac:dyDescent="0.35">
      <c r="C426" s="43" t="s">
        <v>862</v>
      </c>
      <c r="AG426" s="43" t="s">
        <v>342</v>
      </c>
    </row>
    <row r="427" spans="3:33" ht="15" customHeight="1" x14ac:dyDescent="0.35">
      <c r="C427" s="43" t="s">
        <v>931</v>
      </c>
      <c r="AG427" s="50" t="s">
        <v>183</v>
      </c>
    </row>
    <row r="428" spans="3:33" ht="15" customHeight="1" x14ac:dyDescent="0.35">
      <c r="C428" s="43" t="s">
        <v>942</v>
      </c>
      <c r="AG428" s="50" t="s">
        <v>208</v>
      </c>
    </row>
    <row r="429" spans="3:33" ht="15" customHeight="1" x14ac:dyDescent="0.35">
      <c r="C429" s="43" t="s">
        <v>943</v>
      </c>
      <c r="AG429" s="50" t="s">
        <v>271</v>
      </c>
    </row>
    <row r="430" spans="3:33" ht="15" customHeight="1" x14ac:dyDescent="0.35">
      <c r="C430" s="43" t="s">
        <v>922</v>
      </c>
      <c r="AG430" s="43" t="s">
        <v>349</v>
      </c>
    </row>
    <row r="431" spans="3:33" ht="15" customHeight="1" x14ac:dyDescent="0.35">
      <c r="C431" s="43" t="s">
        <v>923</v>
      </c>
      <c r="AG431" s="43" t="s">
        <v>198</v>
      </c>
    </row>
    <row r="432" spans="3:33" ht="15" customHeight="1" x14ac:dyDescent="0.35">
      <c r="C432" s="43" t="s">
        <v>924</v>
      </c>
      <c r="AG432" s="43" t="s">
        <v>219</v>
      </c>
    </row>
    <row r="433" spans="3:33" ht="15" customHeight="1" x14ac:dyDescent="0.35">
      <c r="C433" s="43" t="s">
        <v>920</v>
      </c>
      <c r="AG433" s="43" t="s">
        <v>283</v>
      </c>
    </row>
    <row r="434" spans="3:33" ht="15" customHeight="1" x14ac:dyDescent="0.35">
      <c r="C434" s="43" t="s">
        <v>921</v>
      </c>
      <c r="AG434" s="50" t="s">
        <v>935</v>
      </c>
    </row>
    <row r="435" spans="3:33" ht="15" customHeight="1" x14ac:dyDescent="0.35">
      <c r="C435" s="50" t="s">
        <v>937</v>
      </c>
      <c r="AG435" s="43" t="s">
        <v>882</v>
      </c>
    </row>
    <row r="436" spans="3:33" ht="15" customHeight="1" x14ac:dyDescent="0.35">
      <c r="C436" s="50" t="s">
        <v>936</v>
      </c>
      <c r="AG436" s="43" t="s">
        <v>887</v>
      </c>
    </row>
    <row r="437" spans="3:33" ht="15" customHeight="1" x14ac:dyDescent="0.35">
      <c r="C437" s="50" t="s">
        <v>893</v>
      </c>
      <c r="AG437" s="43" t="s">
        <v>883</v>
      </c>
    </row>
    <row r="438" spans="3:33" ht="15" customHeight="1" x14ac:dyDescent="0.35">
      <c r="C438" s="44" t="s">
        <v>534</v>
      </c>
      <c r="AG438" s="43" t="s">
        <v>888</v>
      </c>
    </row>
    <row r="439" spans="3:33" ht="15" customHeight="1" x14ac:dyDescent="0.35">
      <c r="C439" s="44" t="s">
        <v>106</v>
      </c>
      <c r="AG439" s="43" t="s">
        <v>884</v>
      </c>
    </row>
    <row r="440" spans="3:33" ht="15" customHeight="1" x14ac:dyDescent="0.35">
      <c r="C440" s="50" t="s">
        <v>55</v>
      </c>
      <c r="AG440" s="43" t="s">
        <v>889</v>
      </c>
    </row>
    <row r="441" spans="3:33" ht="15" customHeight="1" x14ac:dyDescent="0.35">
      <c r="C441" s="43" t="s">
        <v>557</v>
      </c>
      <c r="AG441" s="43" t="s">
        <v>880</v>
      </c>
    </row>
    <row r="442" spans="3:33" ht="15" customHeight="1" x14ac:dyDescent="0.35">
      <c r="C442" s="43" t="s">
        <v>576</v>
      </c>
      <c r="AG442" s="43" t="s">
        <v>885</v>
      </c>
    </row>
    <row r="443" spans="3:33" ht="15" customHeight="1" x14ac:dyDescent="0.35">
      <c r="C443" s="43" t="s">
        <v>552</v>
      </c>
      <c r="AG443" s="43" t="s">
        <v>881</v>
      </c>
    </row>
    <row r="444" spans="3:33" ht="15" customHeight="1" x14ac:dyDescent="0.35">
      <c r="C444" s="43" t="s">
        <v>571</v>
      </c>
      <c r="AG444" s="43" t="s">
        <v>886</v>
      </c>
    </row>
    <row r="445" spans="3:33" ht="15" customHeight="1" x14ac:dyDescent="0.35">
      <c r="C445" s="44" t="s">
        <v>431</v>
      </c>
      <c r="AG445" s="50" t="s">
        <v>132</v>
      </c>
    </row>
    <row r="446" spans="3:33" ht="15" customHeight="1" x14ac:dyDescent="0.35">
      <c r="C446" s="44" t="s">
        <v>449</v>
      </c>
      <c r="AG446" s="95" t="s">
        <v>335</v>
      </c>
    </row>
    <row r="447" spans="3:33" ht="15" customHeight="1" x14ac:dyDescent="0.35">
      <c r="C447" s="44" t="s">
        <v>426</v>
      </c>
      <c r="AG447" s="95" t="s">
        <v>334</v>
      </c>
    </row>
    <row r="448" spans="3:33" ht="15" customHeight="1" x14ac:dyDescent="0.35">
      <c r="C448" s="44" t="s">
        <v>444</v>
      </c>
      <c r="AG448" s="43" t="s">
        <v>122</v>
      </c>
    </row>
    <row r="449" spans="3:33" ht="15" customHeight="1" x14ac:dyDescent="0.35">
      <c r="C449" s="44" t="s">
        <v>436</v>
      </c>
      <c r="AG449" s="43" t="s">
        <v>362</v>
      </c>
    </row>
    <row r="450" spans="3:33" ht="15" customHeight="1" x14ac:dyDescent="0.35">
      <c r="C450" s="44" t="s">
        <v>454</v>
      </c>
      <c r="AG450" s="43" t="s">
        <v>357</v>
      </c>
    </row>
    <row r="451" spans="3:33" ht="15" customHeight="1" x14ac:dyDescent="0.35">
      <c r="C451" s="44" t="s">
        <v>532</v>
      </c>
      <c r="AG451" s="44" t="s">
        <v>1005</v>
      </c>
    </row>
    <row r="452" spans="3:33" ht="15" customHeight="1" x14ac:dyDescent="0.35">
      <c r="C452" s="43" t="s">
        <v>65</v>
      </c>
      <c r="AG452" s="44" t="s">
        <v>529</v>
      </c>
    </row>
    <row r="453" spans="3:33" ht="15" customHeight="1" x14ac:dyDescent="0.35">
      <c r="C453" s="50" t="s">
        <v>871</v>
      </c>
      <c r="AG453" s="43" t="s">
        <v>519</v>
      </c>
    </row>
    <row r="454" spans="3:33" ht="15" customHeight="1" x14ac:dyDescent="0.35">
      <c r="C454" s="97" t="s">
        <v>655</v>
      </c>
      <c r="AG454" s="43" t="s">
        <v>701</v>
      </c>
    </row>
    <row r="455" spans="3:33" ht="15" customHeight="1" x14ac:dyDescent="0.35">
      <c r="C455" s="43" t="s">
        <v>638</v>
      </c>
      <c r="AG455" s="44" t="s">
        <v>749</v>
      </c>
    </row>
    <row r="456" spans="3:33" ht="15" customHeight="1" x14ac:dyDescent="0.35">
      <c r="C456" s="43" t="s">
        <v>667</v>
      </c>
      <c r="AG456" s="43" t="s">
        <v>292</v>
      </c>
    </row>
    <row r="457" spans="3:33" ht="15" customHeight="1" x14ac:dyDescent="0.35">
      <c r="C457" s="43" t="s">
        <v>673</v>
      </c>
      <c r="AG457" s="44" t="s">
        <v>1002</v>
      </c>
    </row>
    <row r="458" spans="3:33" ht="15" customHeight="1" x14ac:dyDescent="0.35">
      <c r="C458" s="50" t="s">
        <v>131</v>
      </c>
      <c r="AG458" s="44" t="s">
        <v>748</v>
      </c>
    </row>
    <row r="459" spans="3:33" ht="15" customHeight="1" x14ac:dyDescent="0.35">
      <c r="C459" s="44" t="s">
        <v>535</v>
      </c>
    </row>
    <row r="460" spans="3:33" ht="15" customHeight="1" x14ac:dyDescent="0.35">
      <c r="C460" s="43" t="s">
        <v>645</v>
      </c>
    </row>
    <row r="461" spans="3:33" ht="15" customHeight="1" x14ac:dyDescent="0.35">
      <c r="C461" s="44" t="s">
        <v>109</v>
      </c>
    </row>
    <row r="462" spans="3:33" ht="15" customHeight="1" x14ac:dyDescent="0.35">
      <c r="C462" s="50" t="s">
        <v>179</v>
      </c>
    </row>
    <row r="463" spans="3:33" ht="15" customHeight="1" x14ac:dyDescent="0.35">
      <c r="C463" s="43" t="s">
        <v>194</v>
      </c>
    </row>
    <row r="464" spans="3:33" ht="15" customHeight="1" x14ac:dyDescent="0.35">
      <c r="C464" s="50" t="s">
        <v>93</v>
      </c>
    </row>
    <row r="465" spans="3:33" ht="15" customHeight="1" x14ac:dyDescent="0.35">
      <c r="C465" s="43" t="s">
        <v>338</v>
      </c>
      <c r="AG465" s="59"/>
    </row>
    <row r="466" spans="3:33" ht="15" customHeight="1" x14ac:dyDescent="0.35">
      <c r="C466" s="50" t="s">
        <v>248</v>
      </c>
      <c r="AG466" s="44" t="s">
        <v>98</v>
      </c>
    </row>
    <row r="467" spans="3:33" ht="15" customHeight="1" x14ac:dyDescent="0.35">
      <c r="C467" s="50" t="s">
        <v>204</v>
      </c>
      <c r="AG467" s="43" t="s">
        <v>702</v>
      </c>
    </row>
    <row r="468" spans="3:33" ht="15" customHeight="1" x14ac:dyDescent="0.35">
      <c r="C468" s="43" t="s">
        <v>345</v>
      </c>
      <c r="AG468" s="43" t="s">
        <v>792</v>
      </c>
    </row>
    <row r="469" spans="3:33" ht="15" customHeight="1" x14ac:dyDescent="0.35">
      <c r="C469" s="43" t="s">
        <v>255</v>
      </c>
      <c r="AG469" s="43" t="s">
        <v>793</v>
      </c>
    </row>
    <row r="470" spans="3:33" ht="15" customHeight="1" x14ac:dyDescent="0.35">
      <c r="C470" s="43" t="s">
        <v>215</v>
      </c>
      <c r="AG470" s="43" t="s">
        <v>794</v>
      </c>
    </row>
    <row r="471" spans="3:33" ht="15" customHeight="1" x14ac:dyDescent="0.35">
      <c r="C471" s="50" t="s">
        <v>53</v>
      </c>
      <c r="AG471" s="43" t="s">
        <v>795</v>
      </c>
    </row>
    <row r="472" spans="3:33" ht="15" customHeight="1" x14ac:dyDescent="0.35">
      <c r="C472" s="43" t="s">
        <v>406</v>
      </c>
      <c r="AG472" s="50" t="s">
        <v>940</v>
      </c>
    </row>
    <row r="473" spans="3:33" ht="15" customHeight="1" x14ac:dyDescent="0.35">
      <c r="C473" s="43" t="s">
        <v>410</v>
      </c>
      <c r="AG473" s="44" t="s">
        <v>1017</v>
      </c>
    </row>
    <row r="474" spans="3:33" ht="15" customHeight="1" x14ac:dyDescent="0.35">
      <c r="C474" s="43" t="s">
        <v>393</v>
      </c>
      <c r="AG474" s="44" t="s">
        <v>1018</v>
      </c>
    </row>
    <row r="475" spans="3:33" ht="15" customHeight="1" x14ac:dyDescent="0.35">
      <c r="C475" s="50" t="s">
        <v>267</v>
      </c>
      <c r="AG475" s="50" t="s">
        <v>907</v>
      </c>
    </row>
    <row r="476" spans="3:33" ht="15" customHeight="1" x14ac:dyDescent="0.35">
      <c r="C476" s="43" t="s">
        <v>397</v>
      </c>
      <c r="AG476" s="50" t="s">
        <v>906</v>
      </c>
    </row>
    <row r="477" spans="3:33" ht="15" customHeight="1" x14ac:dyDescent="0.35">
      <c r="C477" s="43" t="s">
        <v>279</v>
      </c>
      <c r="AG477" s="50" t="s">
        <v>159</v>
      </c>
    </row>
    <row r="478" spans="3:33" ht="15" customHeight="1" x14ac:dyDescent="0.35">
      <c r="C478" s="43" t="s">
        <v>558</v>
      </c>
      <c r="AG478" s="50" t="s">
        <v>174</v>
      </c>
    </row>
    <row r="479" spans="3:33" ht="15" customHeight="1" x14ac:dyDescent="0.35">
      <c r="C479" s="43" t="s">
        <v>592</v>
      </c>
      <c r="AG479" s="50" t="s">
        <v>157</v>
      </c>
    </row>
    <row r="480" spans="3:33" ht="15" customHeight="1" x14ac:dyDescent="0.35">
      <c r="C480" s="43" t="s">
        <v>604</v>
      </c>
      <c r="AG480" s="50" t="s">
        <v>173</v>
      </c>
    </row>
    <row r="481" spans="3:33" ht="15" customHeight="1" x14ac:dyDescent="0.35">
      <c r="C481" s="43" t="s">
        <v>577</v>
      </c>
      <c r="AG481" s="50" t="s">
        <v>155</v>
      </c>
    </row>
    <row r="482" spans="3:33" ht="15" customHeight="1" x14ac:dyDescent="0.35">
      <c r="C482" s="44" t="s">
        <v>620</v>
      </c>
      <c r="AG482" s="50" t="s">
        <v>172</v>
      </c>
    </row>
    <row r="483" spans="3:33" ht="15" customHeight="1" x14ac:dyDescent="0.35">
      <c r="C483" s="43" t="s">
        <v>553</v>
      </c>
      <c r="AG483" s="50" t="s">
        <v>153</v>
      </c>
    </row>
    <row r="484" spans="3:33" ht="15" customHeight="1" x14ac:dyDescent="0.35">
      <c r="C484" s="43" t="s">
        <v>588</v>
      </c>
      <c r="AG484" s="50" t="s">
        <v>171</v>
      </c>
    </row>
    <row r="485" spans="3:33" ht="15" customHeight="1" x14ac:dyDescent="0.35">
      <c r="C485" s="43" t="s">
        <v>600</v>
      </c>
      <c r="AG485" s="50" t="s">
        <v>151</v>
      </c>
    </row>
    <row r="486" spans="3:33" ht="15" customHeight="1" x14ac:dyDescent="0.35">
      <c r="C486" s="43" t="s">
        <v>572</v>
      </c>
      <c r="AG486" s="50" t="s">
        <v>170</v>
      </c>
    </row>
    <row r="487" spans="3:33" ht="15" customHeight="1" x14ac:dyDescent="0.35">
      <c r="C487" s="44" t="s">
        <v>430</v>
      </c>
      <c r="AG487" s="43" t="s">
        <v>763</v>
      </c>
    </row>
    <row r="488" spans="3:33" ht="15" customHeight="1" x14ac:dyDescent="0.35">
      <c r="C488" s="44" t="s">
        <v>448</v>
      </c>
      <c r="AG488" s="44" t="s">
        <v>1019</v>
      </c>
    </row>
    <row r="489" spans="3:33" ht="15" customHeight="1" x14ac:dyDescent="0.35">
      <c r="C489" s="44" t="s">
        <v>425</v>
      </c>
      <c r="AG489" s="43" t="s">
        <v>764</v>
      </c>
    </row>
    <row r="490" spans="3:33" ht="15" customHeight="1" x14ac:dyDescent="0.35">
      <c r="C490" s="44" t="s">
        <v>443</v>
      </c>
      <c r="AG490" s="43" t="s">
        <v>765</v>
      </c>
    </row>
    <row r="491" spans="3:33" ht="15" customHeight="1" x14ac:dyDescent="0.35">
      <c r="C491" s="44" t="s">
        <v>624</v>
      </c>
      <c r="AG491" s="43" t="s">
        <v>798</v>
      </c>
    </row>
    <row r="492" spans="3:33" ht="15" customHeight="1" x14ac:dyDescent="0.35">
      <c r="C492" s="44" t="s">
        <v>435</v>
      </c>
      <c r="AG492" s="43" t="s">
        <v>950</v>
      </c>
    </row>
    <row r="493" spans="3:33" ht="15" customHeight="1" x14ac:dyDescent="0.35">
      <c r="C493" s="43" t="s">
        <v>596</v>
      </c>
      <c r="AG493" s="44" t="s">
        <v>1024</v>
      </c>
    </row>
    <row r="494" spans="3:33" ht="15" customHeight="1" x14ac:dyDescent="0.35">
      <c r="C494" s="43" t="s">
        <v>608</v>
      </c>
      <c r="AG494" s="44" t="s">
        <v>1025</v>
      </c>
    </row>
    <row r="495" spans="3:33" ht="15" customHeight="1" x14ac:dyDescent="0.35">
      <c r="C495" s="44" t="s">
        <v>453</v>
      </c>
      <c r="AG495" s="44" t="s">
        <v>1006</v>
      </c>
    </row>
    <row r="496" spans="3:33" ht="15" customHeight="1" x14ac:dyDescent="0.35">
      <c r="C496" s="43" t="s">
        <v>691</v>
      </c>
      <c r="AG496" s="43" t="s">
        <v>704</v>
      </c>
    </row>
    <row r="497" spans="3:33" ht="15" customHeight="1" x14ac:dyDescent="0.35">
      <c r="C497" s="43" t="s">
        <v>699</v>
      </c>
      <c r="AG497" s="44" t="s">
        <v>87</v>
      </c>
    </row>
    <row r="498" spans="3:33" ht="15" customHeight="1" x14ac:dyDescent="0.35">
      <c r="C498" s="43" t="s">
        <v>692</v>
      </c>
      <c r="AG498" s="44" t="s">
        <v>86</v>
      </c>
    </row>
    <row r="499" spans="3:33" ht="15" customHeight="1" x14ac:dyDescent="0.35">
      <c r="C499" s="43" t="s">
        <v>700</v>
      </c>
      <c r="AG499" s="44" t="s">
        <v>1021</v>
      </c>
    </row>
    <row r="500" spans="3:33" ht="15" customHeight="1" x14ac:dyDescent="0.35">
      <c r="C500" s="44" t="s">
        <v>115</v>
      </c>
      <c r="AG500" s="50" t="s">
        <v>360</v>
      </c>
    </row>
    <row r="501" spans="3:33" ht="15" customHeight="1" x14ac:dyDescent="0.35">
      <c r="C501" s="43" t="s">
        <v>63</v>
      </c>
      <c r="AG501" s="107"/>
    </row>
    <row r="502" spans="3:33" ht="15" customHeight="1" x14ac:dyDescent="0.35">
      <c r="C502" s="43" t="s">
        <v>677</v>
      </c>
      <c r="AG502" s="43"/>
    </row>
    <row r="503" spans="3:33" ht="15" customHeight="1" x14ac:dyDescent="0.35">
      <c r="C503" s="43" t="s">
        <v>650</v>
      </c>
      <c r="AG503" s="142" t="s">
        <v>540</v>
      </c>
    </row>
    <row r="504" spans="3:33" ht="15" customHeight="1" x14ac:dyDescent="0.35">
      <c r="C504" s="43" t="s">
        <v>342</v>
      </c>
      <c r="AG504" s="43" t="s">
        <v>805</v>
      </c>
    </row>
    <row r="505" spans="3:33" ht="15" customHeight="1" x14ac:dyDescent="0.35">
      <c r="C505" s="50" t="s">
        <v>183</v>
      </c>
      <c r="AG505" s="43" t="s">
        <v>932</v>
      </c>
    </row>
    <row r="506" spans="3:33" ht="15" customHeight="1" x14ac:dyDescent="0.35">
      <c r="C506" s="50" t="s">
        <v>208</v>
      </c>
      <c r="AG506" s="43" t="s">
        <v>806</v>
      </c>
    </row>
    <row r="507" spans="3:33" ht="15" customHeight="1" x14ac:dyDescent="0.35">
      <c r="C507" s="50" t="s">
        <v>271</v>
      </c>
      <c r="AG507" s="43" t="s">
        <v>788</v>
      </c>
    </row>
    <row r="508" spans="3:33" ht="15" customHeight="1" x14ac:dyDescent="0.35">
      <c r="C508" s="43" t="s">
        <v>349</v>
      </c>
      <c r="AG508" s="43" t="s">
        <v>807</v>
      </c>
    </row>
    <row r="509" spans="3:33" ht="15" customHeight="1" x14ac:dyDescent="0.35">
      <c r="C509" s="43" t="s">
        <v>198</v>
      </c>
      <c r="AG509" s="43" t="s">
        <v>412</v>
      </c>
    </row>
    <row r="510" spans="3:33" ht="15" customHeight="1" x14ac:dyDescent="0.35">
      <c r="C510" s="43" t="s">
        <v>219</v>
      </c>
      <c r="AG510" s="43" t="s">
        <v>789</v>
      </c>
    </row>
    <row r="511" spans="3:33" ht="15" customHeight="1" x14ac:dyDescent="0.35">
      <c r="C511" s="43" t="s">
        <v>283</v>
      </c>
      <c r="AG511" s="43" t="s">
        <v>808</v>
      </c>
    </row>
    <row r="512" spans="3:33" ht="15" customHeight="1" x14ac:dyDescent="0.35">
      <c r="C512" s="50" t="s">
        <v>935</v>
      </c>
      <c r="AG512" s="43" t="s">
        <v>790</v>
      </c>
    </row>
    <row r="513" spans="3:33" ht="15" customHeight="1" x14ac:dyDescent="0.35">
      <c r="C513" s="43" t="s">
        <v>882</v>
      </c>
      <c r="AG513" s="43" t="s">
        <v>809</v>
      </c>
    </row>
    <row r="514" spans="3:33" ht="15" customHeight="1" x14ac:dyDescent="0.35">
      <c r="C514" s="43" t="s">
        <v>887</v>
      </c>
      <c r="AG514" s="43" t="s">
        <v>791</v>
      </c>
    </row>
    <row r="515" spans="3:33" ht="15" customHeight="1" x14ac:dyDescent="0.35">
      <c r="C515" s="43" t="s">
        <v>883</v>
      </c>
      <c r="AG515" s="50" t="s">
        <v>332</v>
      </c>
    </row>
    <row r="516" spans="3:33" ht="15" customHeight="1" x14ac:dyDescent="0.35">
      <c r="C516" s="43" t="s">
        <v>888</v>
      </c>
      <c r="AG516" s="43" t="s">
        <v>261</v>
      </c>
    </row>
    <row r="517" spans="3:33" ht="15" customHeight="1" x14ac:dyDescent="0.35">
      <c r="C517" s="43" t="s">
        <v>884</v>
      </c>
      <c r="AG517" s="43" t="s">
        <v>225</v>
      </c>
    </row>
    <row r="518" spans="3:33" ht="15" customHeight="1" x14ac:dyDescent="0.35">
      <c r="C518" s="43" t="s">
        <v>889</v>
      </c>
      <c r="AG518" s="43" t="s">
        <v>289</v>
      </c>
    </row>
    <row r="519" spans="3:33" ht="15" customHeight="1" x14ac:dyDescent="0.35">
      <c r="C519" s="43" t="s">
        <v>880</v>
      </c>
      <c r="AG519" s="50" t="s">
        <v>331</v>
      </c>
    </row>
    <row r="520" spans="3:33" ht="15" customHeight="1" x14ac:dyDescent="0.35">
      <c r="C520" s="43" t="s">
        <v>885</v>
      </c>
      <c r="AG520" s="43" t="s">
        <v>260</v>
      </c>
    </row>
    <row r="521" spans="3:33" ht="15" customHeight="1" x14ac:dyDescent="0.35">
      <c r="C521" s="43" t="s">
        <v>881</v>
      </c>
      <c r="AG521" s="43" t="s">
        <v>224</v>
      </c>
    </row>
    <row r="522" spans="3:33" ht="15" customHeight="1" x14ac:dyDescent="0.35">
      <c r="C522" s="43" t="s">
        <v>886</v>
      </c>
      <c r="AG522" s="43" t="s">
        <v>288</v>
      </c>
    </row>
    <row r="523" spans="3:33" ht="15" customHeight="1" x14ac:dyDescent="0.35">
      <c r="C523" s="50" t="s">
        <v>132</v>
      </c>
      <c r="AG523" s="50" t="s">
        <v>330</v>
      </c>
    </row>
    <row r="524" spans="3:33" ht="15" customHeight="1" x14ac:dyDescent="0.35">
      <c r="C524" s="95" t="s">
        <v>335</v>
      </c>
      <c r="AG524" s="43" t="s">
        <v>259</v>
      </c>
    </row>
    <row r="525" spans="3:33" ht="15" customHeight="1" x14ac:dyDescent="0.35">
      <c r="C525" s="95" t="s">
        <v>334</v>
      </c>
      <c r="AG525" s="43" t="s">
        <v>223</v>
      </c>
    </row>
    <row r="526" spans="3:33" ht="15" customHeight="1" x14ac:dyDescent="0.35">
      <c r="C526" s="92" t="s">
        <v>190</v>
      </c>
      <c r="AG526" s="43" t="s">
        <v>287</v>
      </c>
    </row>
    <row r="527" spans="3:33" ht="15" customHeight="1" x14ac:dyDescent="0.35">
      <c r="C527" s="107" t="s">
        <v>295</v>
      </c>
      <c r="AG527" s="43" t="s">
        <v>570</v>
      </c>
    </row>
    <row r="528" spans="3:33" ht="15" customHeight="1" x14ac:dyDescent="0.35">
      <c r="C528" s="162" t="s">
        <v>997</v>
      </c>
      <c r="AG528" s="50" t="s">
        <v>80</v>
      </c>
    </row>
    <row r="529" spans="3:33" ht="15" customHeight="1" x14ac:dyDescent="0.4">
      <c r="C529" s="152" t="s">
        <v>678</v>
      </c>
      <c r="AG529" s="50" t="s">
        <v>78</v>
      </c>
    </row>
    <row r="530" spans="3:33" ht="15" customHeight="1" x14ac:dyDescent="0.35">
      <c r="C530" s="126" t="s">
        <v>439</v>
      </c>
      <c r="AG530" s="50" t="s">
        <v>76</v>
      </c>
    </row>
    <row r="531" spans="3:33" ht="15" customHeight="1" x14ac:dyDescent="0.35">
      <c r="C531" s="126" t="s">
        <v>541</v>
      </c>
      <c r="AG531" s="50" t="s">
        <v>84</v>
      </c>
    </row>
    <row r="532" spans="3:33" ht="15" customHeight="1" x14ac:dyDescent="0.35">
      <c r="C532" s="43" t="s">
        <v>122</v>
      </c>
      <c r="AG532" s="50" t="s">
        <v>82</v>
      </c>
    </row>
    <row r="533" spans="3:33" ht="15" customHeight="1" x14ac:dyDescent="0.35">
      <c r="C533" s="43" t="s">
        <v>362</v>
      </c>
      <c r="AG533" s="95"/>
    </row>
    <row r="534" spans="3:33" ht="15" customHeight="1" x14ac:dyDescent="0.35">
      <c r="C534" s="43" t="s">
        <v>357</v>
      </c>
      <c r="AG534" s="43" t="s">
        <v>824</v>
      </c>
    </row>
    <row r="535" spans="3:33" ht="15" customHeight="1" x14ac:dyDescent="0.35">
      <c r="C535" s="44" t="s">
        <v>1005</v>
      </c>
      <c r="AG535" s="43" t="s">
        <v>825</v>
      </c>
    </row>
    <row r="536" spans="3:33" ht="15" customHeight="1" x14ac:dyDescent="0.35">
      <c r="C536" s="44" t="s">
        <v>529</v>
      </c>
      <c r="AG536" s="43" t="s">
        <v>952</v>
      </c>
    </row>
    <row r="537" spans="3:33" ht="15" customHeight="1" x14ac:dyDescent="0.35">
      <c r="C537" s="43" t="s">
        <v>519</v>
      </c>
      <c r="AG537" s="43" t="s">
        <v>874</v>
      </c>
    </row>
    <row r="538" spans="3:33" ht="15" customHeight="1" x14ac:dyDescent="0.35">
      <c r="C538" s="43" t="s">
        <v>701</v>
      </c>
      <c r="AG538" s="43" t="s">
        <v>353</v>
      </c>
    </row>
    <row r="539" spans="3:33" ht="15" customHeight="1" x14ac:dyDescent="0.35">
      <c r="C539" s="44" t="s">
        <v>749</v>
      </c>
      <c r="AG539" s="43" t="s">
        <v>811</v>
      </c>
    </row>
    <row r="540" spans="3:33" ht="15" customHeight="1" x14ac:dyDescent="0.35">
      <c r="C540" s="43" t="s">
        <v>292</v>
      </c>
      <c r="AG540" s="43" t="s">
        <v>953</v>
      </c>
    </row>
    <row r="541" spans="3:33" ht="15" customHeight="1" x14ac:dyDescent="0.35">
      <c r="C541" s="44" t="s">
        <v>1002</v>
      </c>
      <c r="AG541" s="43" t="s">
        <v>875</v>
      </c>
    </row>
    <row r="542" spans="3:33" ht="15" customHeight="1" x14ac:dyDescent="0.35">
      <c r="C542" s="44" t="s">
        <v>748</v>
      </c>
      <c r="AG542" s="43" t="s">
        <v>354</v>
      </c>
    </row>
    <row r="543" spans="3:33" ht="15" customHeight="1" x14ac:dyDescent="0.35">
      <c r="C543" s="59" t="s">
        <v>737</v>
      </c>
      <c r="AG543" s="43" t="s">
        <v>826</v>
      </c>
    </row>
    <row r="544" spans="3:33" ht="15" customHeight="1" x14ac:dyDescent="0.35">
      <c r="C544" s="44" t="s">
        <v>98</v>
      </c>
      <c r="AG544" s="43" t="s">
        <v>797</v>
      </c>
    </row>
    <row r="545" spans="3:33" ht="15" customHeight="1" x14ac:dyDescent="0.35">
      <c r="C545" s="43" t="s">
        <v>702</v>
      </c>
      <c r="AG545" s="43" t="s">
        <v>800</v>
      </c>
    </row>
    <row r="546" spans="3:33" ht="15" customHeight="1" x14ac:dyDescent="0.35">
      <c r="C546" s="43" t="s">
        <v>792</v>
      </c>
      <c r="AG546" s="43" t="s">
        <v>801</v>
      </c>
    </row>
    <row r="547" spans="3:33" ht="15" customHeight="1" x14ac:dyDescent="0.35">
      <c r="C547" s="43" t="s">
        <v>793</v>
      </c>
      <c r="AG547" s="43" t="s">
        <v>802</v>
      </c>
    </row>
    <row r="548" spans="3:33" ht="15" customHeight="1" x14ac:dyDescent="0.35">
      <c r="C548" s="43" t="s">
        <v>794</v>
      </c>
      <c r="AG548" s="43" t="s">
        <v>803</v>
      </c>
    </row>
    <row r="549" spans="3:33" ht="15" customHeight="1" x14ac:dyDescent="0.35">
      <c r="C549" s="43" t="s">
        <v>795</v>
      </c>
      <c r="AG549" s="43" t="s">
        <v>804</v>
      </c>
    </row>
    <row r="550" spans="3:33" ht="15" customHeight="1" x14ac:dyDescent="0.35">
      <c r="C550" s="50" t="s">
        <v>940</v>
      </c>
      <c r="AG550" s="43" t="s">
        <v>960</v>
      </c>
    </row>
    <row r="551" spans="3:33" ht="15" customHeight="1" x14ac:dyDescent="0.35">
      <c r="C551" s="44" t="s">
        <v>1017</v>
      </c>
      <c r="AG551" s="43" t="s">
        <v>958</v>
      </c>
    </row>
    <row r="552" spans="3:33" ht="15" customHeight="1" x14ac:dyDescent="0.35">
      <c r="C552" s="44" t="s">
        <v>1018</v>
      </c>
      <c r="AG552" s="43" t="s">
        <v>959</v>
      </c>
    </row>
    <row r="553" spans="3:33" ht="15" customHeight="1" x14ac:dyDescent="0.35">
      <c r="C553" s="50" t="s">
        <v>907</v>
      </c>
      <c r="AG553" s="43" t="s">
        <v>812</v>
      </c>
    </row>
    <row r="554" spans="3:33" ht="15" customHeight="1" x14ac:dyDescent="0.35">
      <c r="C554" s="50" t="s">
        <v>906</v>
      </c>
      <c r="AG554" s="43" t="s">
        <v>954</v>
      </c>
    </row>
    <row r="555" spans="3:33" ht="15" customHeight="1" x14ac:dyDescent="0.35">
      <c r="C555" s="50" t="s">
        <v>159</v>
      </c>
      <c r="AG555" s="43" t="s">
        <v>876</v>
      </c>
    </row>
    <row r="556" spans="3:33" ht="15" customHeight="1" x14ac:dyDescent="0.35">
      <c r="C556" s="50" t="s">
        <v>174</v>
      </c>
      <c r="AG556" s="43" t="s">
        <v>355</v>
      </c>
    </row>
    <row r="557" spans="3:33" ht="15" customHeight="1" x14ac:dyDescent="0.35">
      <c r="C557" s="50" t="s">
        <v>157</v>
      </c>
      <c r="AG557" s="43" t="s">
        <v>827</v>
      </c>
    </row>
    <row r="558" spans="3:33" ht="15" customHeight="1" x14ac:dyDescent="0.35">
      <c r="C558" s="50" t="s">
        <v>173</v>
      </c>
      <c r="AG558" s="43" t="s">
        <v>813</v>
      </c>
    </row>
    <row r="559" spans="3:33" ht="15" customHeight="1" x14ac:dyDescent="0.35">
      <c r="C559" s="50" t="s">
        <v>155</v>
      </c>
      <c r="AG559" s="43" t="s">
        <v>955</v>
      </c>
    </row>
    <row r="560" spans="3:33" ht="15" customHeight="1" x14ac:dyDescent="0.35">
      <c r="C560" s="50" t="s">
        <v>172</v>
      </c>
      <c r="AG560" s="43" t="s">
        <v>877</v>
      </c>
    </row>
    <row r="561" spans="3:33" ht="15" customHeight="1" x14ac:dyDescent="0.35">
      <c r="C561" s="50" t="s">
        <v>153</v>
      </c>
      <c r="AG561" s="43" t="s">
        <v>356</v>
      </c>
    </row>
    <row r="562" spans="3:33" ht="15" customHeight="1" x14ac:dyDescent="0.35">
      <c r="C562" s="50" t="s">
        <v>171</v>
      </c>
      <c r="AG562" s="43" t="s">
        <v>828</v>
      </c>
    </row>
    <row r="563" spans="3:33" ht="15" customHeight="1" x14ac:dyDescent="0.35">
      <c r="C563" s="50" t="s">
        <v>151</v>
      </c>
      <c r="AG563" s="43" t="s">
        <v>814</v>
      </c>
    </row>
    <row r="564" spans="3:33" ht="15" customHeight="1" x14ac:dyDescent="0.35">
      <c r="C564" s="50" t="s">
        <v>170</v>
      </c>
      <c r="AG564" s="43" t="s">
        <v>956</v>
      </c>
    </row>
    <row r="565" spans="3:33" ht="15" customHeight="1" x14ac:dyDescent="0.35">
      <c r="C565" s="43" t="s">
        <v>763</v>
      </c>
      <c r="AG565" s="43" t="s">
        <v>878</v>
      </c>
    </row>
    <row r="566" spans="3:33" ht="15" customHeight="1" x14ac:dyDescent="0.35">
      <c r="C566" s="44" t="s">
        <v>1019</v>
      </c>
      <c r="AG566" s="43" t="s">
        <v>829</v>
      </c>
    </row>
    <row r="567" spans="3:33" ht="15" customHeight="1" x14ac:dyDescent="0.35">
      <c r="C567" s="43" t="s">
        <v>764</v>
      </c>
      <c r="AG567" s="43" t="s">
        <v>815</v>
      </c>
    </row>
    <row r="568" spans="3:33" ht="15" customHeight="1" x14ac:dyDescent="0.35">
      <c r="C568" s="43" t="s">
        <v>765</v>
      </c>
      <c r="AG568" s="43" t="s">
        <v>816</v>
      </c>
    </row>
    <row r="569" spans="3:33" ht="15" customHeight="1" x14ac:dyDescent="0.35">
      <c r="C569" s="43" t="s">
        <v>798</v>
      </c>
      <c r="AG569" s="43" t="s">
        <v>120</v>
      </c>
    </row>
    <row r="570" spans="3:33" ht="15" customHeight="1" x14ac:dyDescent="0.35">
      <c r="C570" s="43" t="s">
        <v>950</v>
      </c>
      <c r="AG570" s="43" t="s">
        <v>784</v>
      </c>
    </row>
    <row r="571" spans="3:33" ht="15" customHeight="1" x14ac:dyDescent="0.35">
      <c r="C571" s="44" t="s">
        <v>1024</v>
      </c>
      <c r="AG571" s="43" t="s">
        <v>785</v>
      </c>
    </row>
    <row r="572" spans="3:33" ht="15" customHeight="1" x14ac:dyDescent="0.35">
      <c r="C572" s="44" t="s">
        <v>1025</v>
      </c>
      <c r="AG572" s="43" t="s">
        <v>768</v>
      </c>
    </row>
    <row r="573" spans="3:33" ht="15" customHeight="1" x14ac:dyDescent="0.35">
      <c r="C573" s="44" t="s">
        <v>1006</v>
      </c>
      <c r="AG573" s="43" t="s">
        <v>780</v>
      </c>
    </row>
    <row r="574" spans="3:33" ht="15" customHeight="1" x14ac:dyDescent="0.35">
      <c r="C574" s="43" t="s">
        <v>704</v>
      </c>
      <c r="AG574" s="43" t="s">
        <v>769</v>
      </c>
    </row>
    <row r="575" spans="3:33" ht="15" customHeight="1" x14ac:dyDescent="0.35">
      <c r="C575" s="44" t="s">
        <v>87</v>
      </c>
      <c r="AG575" s="50" t="s">
        <v>145</v>
      </c>
    </row>
    <row r="576" spans="3:33" ht="15" customHeight="1" x14ac:dyDescent="0.35">
      <c r="C576" s="44" t="s">
        <v>86</v>
      </c>
      <c r="AG576" s="50" t="s">
        <v>165</v>
      </c>
    </row>
    <row r="577" spans="3:33" ht="15" customHeight="1" x14ac:dyDescent="0.35">
      <c r="C577" s="44" t="s">
        <v>1021</v>
      </c>
      <c r="AG577" s="44" t="s">
        <v>306</v>
      </c>
    </row>
    <row r="578" spans="3:33" ht="15" customHeight="1" x14ac:dyDescent="0.35">
      <c r="C578" s="50" t="s">
        <v>360</v>
      </c>
      <c r="AG578" s="43" t="s">
        <v>510</v>
      </c>
    </row>
    <row r="579" spans="3:33" ht="15" customHeight="1" x14ac:dyDescent="0.35">
      <c r="C579" s="107" t="s">
        <v>296</v>
      </c>
      <c r="AG579" s="44" t="s">
        <v>482</v>
      </c>
    </row>
    <row r="580" spans="3:33" ht="15" customHeight="1" x14ac:dyDescent="0.35">
      <c r="C580" s="43" t="s">
        <v>835</v>
      </c>
      <c r="AG580" s="43" t="s">
        <v>753</v>
      </c>
    </row>
    <row r="581" spans="3:33" ht="15" customHeight="1" x14ac:dyDescent="0.35">
      <c r="C581" s="142" t="s">
        <v>540</v>
      </c>
      <c r="AG581" s="43" t="s">
        <v>774</v>
      </c>
    </row>
    <row r="582" spans="3:33" ht="15" customHeight="1" x14ac:dyDescent="0.35">
      <c r="C582" s="43" t="s">
        <v>805</v>
      </c>
      <c r="AG582" s="50" t="s">
        <v>150</v>
      </c>
    </row>
    <row r="583" spans="3:33" ht="15" customHeight="1" x14ac:dyDescent="0.35">
      <c r="C583" s="43" t="s">
        <v>932</v>
      </c>
      <c r="AG583" s="50" t="s">
        <v>169</v>
      </c>
    </row>
    <row r="584" spans="3:33" ht="15" customHeight="1" x14ac:dyDescent="0.35">
      <c r="C584" s="43" t="s">
        <v>806</v>
      </c>
      <c r="AG584" s="50" t="s">
        <v>143</v>
      </c>
    </row>
    <row r="585" spans="3:33" ht="15" customHeight="1" x14ac:dyDescent="0.35">
      <c r="C585" s="43" t="s">
        <v>788</v>
      </c>
      <c r="AG585" s="50" t="s">
        <v>164</v>
      </c>
    </row>
    <row r="586" spans="3:33" ht="15" customHeight="1" x14ac:dyDescent="0.35">
      <c r="C586" s="43" t="s">
        <v>807</v>
      </c>
      <c r="AG586" s="43" t="s">
        <v>754</v>
      </c>
    </row>
    <row r="587" spans="3:33" ht="15" customHeight="1" x14ac:dyDescent="0.35">
      <c r="C587" s="43" t="s">
        <v>412</v>
      </c>
      <c r="AG587" s="43" t="s">
        <v>775</v>
      </c>
    </row>
    <row r="588" spans="3:33" ht="15" customHeight="1" x14ac:dyDescent="0.35">
      <c r="C588" s="43" t="s">
        <v>789</v>
      </c>
      <c r="AG588" s="43" t="s">
        <v>67</v>
      </c>
    </row>
    <row r="589" spans="3:33" ht="15" customHeight="1" x14ac:dyDescent="0.35">
      <c r="C589" s="43" t="s">
        <v>808</v>
      </c>
      <c r="AG589" s="44" t="s">
        <v>101</v>
      </c>
    </row>
    <row r="590" spans="3:33" ht="15" customHeight="1" x14ac:dyDescent="0.35">
      <c r="C590" s="43" t="s">
        <v>790</v>
      </c>
      <c r="AG590" s="44" t="s">
        <v>100</v>
      </c>
    </row>
    <row r="591" spans="3:33" ht="15" customHeight="1" x14ac:dyDescent="0.35">
      <c r="C591" s="43" t="s">
        <v>809</v>
      </c>
      <c r="AG591" s="44" t="s">
        <v>383</v>
      </c>
    </row>
    <row r="592" spans="3:33" ht="15" customHeight="1" x14ac:dyDescent="0.35">
      <c r="C592" s="43" t="s">
        <v>791</v>
      </c>
      <c r="AG592" s="44" t="s">
        <v>373</v>
      </c>
    </row>
    <row r="593" spans="3:33" ht="15" customHeight="1" x14ac:dyDescent="0.35">
      <c r="C593" s="50" t="s">
        <v>332</v>
      </c>
      <c r="AG593" s="43" t="s">
        <v>681</v>
      </c>
    </row>
    <row r="594" spans="3:33" ht="15" customHeight="1" x14ac:dyDescent="0.35">
      <c r="C594" s="43" t="s">
        <v>261</v>
      </c>
      <c r="AG594" s="43" t="s">
        <v>684</v>
      </c>
    </row>
    <row r="595" spans="3:33" ht="15" customHeight="1" x14ac:dyDescent="0.35">
      <c r="C595" s="43" t="s">
        <v>225</v>
      </c>
      <c r="AG595" s="43" t="s">
        <v>961</v>
      </c>
    </row>
    <row r="596" spans="3:33" ht="15" customHeight="1" x14ac:dyDescent="0.35">
      <c r="C596" s="43" t="s">
        <v>289</v>
      </c>
      <c r="AG596" s="43" t="s">
        <v>962</v>
      </c>
    </row>
    <row r="597" spans="3:33" ht="15" customHeight="1" x14ac:dyDescent="0.35">
      <c r="C597" s="50" t="s">
        <v>331</v>
      </c>
      <c r="AG597" s="43" t="s">
        <v>817</v>
      </c>
    </row>
    <row r="598" spans="3:33" ht="15" customHeight="1" x14ac:dyDescent="0.35">
      <c r="C598" s="43" t="s">
        <v>260</v>
      </c>
      <c r="AG598" s="43" t="s">
        <v>818</v>
      </c>
    </row>
    <row r="599" spans="3:33" ht="15" customHeight="1" x14ac:dyDescent="0.35">
      <c r="C599" s="43" t="s">
        <v>224</v>
      </c>
      <c r="AG599" s="43" t="s">
        <v>820</v>
      </c>
    </row>
    <row r="600" spans="3:33" ht="15" customHeight="1" x14ac:dyDescent="0.35">
      <c r="C600" s="43" t="s">
        <v>288</v>
      </c>
      <c r="AG600" s="43" t="s">
        <v>786</v>
      </c>
    </row>
    <row r="601" spans="3:33" ht="15" customHeight="1" x14ac:dyDescent="0.35">
      <c r="C601" s="50" t="s">
        <v>330</v>
      </c>
      <c r="AG601" s="43" t="s">
        <v>787</v>
      </c>
    </row>
    <row r="602" spans="3:33" ht="15" customHeight="1" x14ac:dyDescent="0.35">
      <c r="C602" s="43" t="s">
        <v>259</v>
      </c>
      <c r="AG602" s="44" t="s">
        <v>305</v>
      </c>
    </row>
    <row r="603" spans="3:33" ht="15" customHeight="1" x14ac:dyDescent="0.35">
      <c r="C603" s="43" t="s">
        <v>223</v>
      </c>
      <c r="AG603" s="44" t="s">
        <v>480</v>
      </c>
    </row>
    <row r="604" spans="3:33" ht="15" customHeight="1" x14ac:dyDescent="0.35">
      <c r="C604" s="43" t="s">
        <v>287</v>
      </c>
      <c r="AG604" s="147" t="s">
        <v>546</v>
      </c>
    </row>
    <row r="605" spans="3:33" ht="15" customHeight="1" x14ac:dyDescent="0.35">
      <c r="C605" s="43" t="s">
        <v>570</v>
      </c>
      <c r="AG605" s="43" t="s">
        <v>770</v>
      </c>
    </row>
    <row r="606" spans="3:33" ht="15" customHeight="1" x14ac:dyDescent="0.35">
      <c r="C606" s="50" t="s">
        <v>80</v>
      </c>
      <c r="AG606" s="43" t="s">
        <v>781</v>
      </c>
    </row>
    <row r="607" spans="3:33" ht="15" customHeight="1" x14ac:dyDescent="0.35">
      <c r="C607" s="50" t="s">
        <v>78</v>
      </c>
      <c r="AG607" s="43" t="s">
        <v>771</v>
      </c>
    </row>
    <row r="608" spans="3:33" ht="15" customHeight="1" x14ac:dyDescent="0.35">
      <c r="C608" s="50" t="s">
        <v>76</v>
      </c>
      <c r="AG608" s="50" t="s">
        <v>149</v>
      </c>
    </row>
    <row r="609" spans="3:33" ht="15" customHeight="1" x14ac:dyDescent="0.35">
      <c r="C609" s="50" t="s">
        <v>84</v>
      </c>
      <c r="AG609" s="50" t="s">
        <v>168</v>
      </c>
    </row>
    <row r="610" spans="3:33" ht="15" customHeight="1" x14ac:dyDescent="0.35">
      <c r="C610" s="50" t="s">
        <v>82</v>
      </c>
      <c r="AG610" s="50" t="s">
        <v>141</v>
      </c>
    </row>
    <row r="611" spans="3:33" ht="15" customHeight="1" x14ac:dyDescent="0.35">
      <c r="C611" s="95" t="s">
        <v>400</v>
      </c>
      <c r="AG611" s="50" t="s">
        <v>163</v>
      </c>
    </row>
    <row r="612" spans="3:33" ht="15" customHeight="1" x14ac:dyDescent="0.35">
      <c r="C612" s="43" t="s">
        <v>824</v>
      </c>
      <c r="AG612" s="43" t="s">
        <v>756</v>
      </c>
    </row>
    <row r="613" spans="3:33" ht="15" customHeight="1" x14ac:dyDescent="0.35">
      <c r="C613" s="43" t="s">
        <v>825</v>
      </c>
      <c r="AG613" s="43" t="s">
        <v>776</v>
      </c>
    </row>
    <row r="614" spans="3:33" ht="15" customHeight="1" x14ac:dyDescent="0.35">
      <c r="C614" s="43" t="s">
        <v>952</v>
      </c>
      <c r="AG614" s="43" t="s">
        <v>772</v>
      </c>
    </row>
    <row r="615" spans="3:33" ht="15" customHeight="1" x14ac:dyDescent="0.35">
      <c r="C615" s="43" t="s">
        <v>874</v>
      </c>
      <c r="AG615" s="43" t="s">
        <v>758</v>
      </c>
    </row>
    <row r="616" spans="3:33" ht="15" customHeight="1" x14ac:dyDescent="0.35">
      <c r="C616" s="43" t="s">
        <v>353</v>
      </c>
      <c r="AG616" s="43" t="s">
        <v>777</v>
      </c>
    </row>
    <row r="617" spans="3:33" ht="15" customHeight="1" x14ac:dyDescent="0.35">
      <c r="C617" s="43" t="s">
        <v>811</v>
      </c>
      <c r="AG617" s="43" t="s">
        <v>760</v>
      </c>
    </row>
    <row r="618" spans="3:33" ht="15" customHeight="1" x14ac:dyDescent="0.35">
      <c r="C618" s="43" t="s">
        <v>953</v>
      </c>
      <c r="AG618" s="43" t="s">
        <v>778</v>
      </c>
    </row>
    <row r="619" spans="3:33" ht="15" customHeight="1" x14ac:dyDescent="0.35">
      <c r="C619" s="43" t="s">
        <v>875</v>
      </c>
      <c r="AG619" s="44" t="s">
        <v>548</v>
      </c>
    </row>
    <row r="620" spans="3:33" ht="15" customHeight="1" x14ac:dyDescent="0.35">
      <c r="C620" s="43" t="s">
        <v>354</v>
      </c>
      <c r="AG620" s="43" t="s">
        <v>508</v>
      </c>
    </row>
    <row r="621" spans="3:33" ht="15" customHeight="1" x14ac:dyDescent="0.35">
      <c r="C621" s="43" t="s">
        <v>826</v>
      </c>
      <c r="AG621" s="44" t="s">
        <v>102</v>
      </c>
    </row>
    <row r="622" spans="3:33" ht="15" customHeight="1" x14ac:dyDescent="0.35">
      <c r="C622" s="43" t="s">
        <v>797</v>
      </c>
      <c r="AG622" s="44" t="s">
        <v>370</v>
      </c>
    </row>
    <row r="623" spans="3:33" ht="15" customHeight="1" x14ac:dyDescent="0.35">
      <c r="C623" s="43" t="s">
        <v>800</v>
      </c>
      <c r="AG623" s="44" t="s">
        <v>380</v>
      </c>
    </row>
    <row r="624" spans="3:33" ht="15" customHeight="1" x14ac:dyDescent="0.35">
      <c r="C624" s="43" t="s">
        <v>801</v>
      </c>
      <c r="AG624" s="43" t="s">
        <v>462</v>
      </c>
    </row>
    <row r="625" spans="3:33" ht="15" customHeight="1" x14ac:dyDescent="0.35">
      <c r="C625" s="43" t="s">
        <v>802</v>
      </c>
      <c r="AG625" s="43" t="s">
        <v>461</v>
      </c>
    </row>
    <row r="626" spans="3:33" ht="15" customHeight="1" x14ac:dyDescent="0.35">
      <c r="C626" s="43" t="s">
        <v>803</v>
      </c>
      <c r="AG626" s="43" t="s">
        <v>736</v>
      </c>
    </row>
    <row r="627" spans="3:33" ht="15" customHeight="1" x14ac:dyDescent="0.35">
      <c r="C627" s="43" t="s">
        <v>804</v>
      </c>
      <c r="AG627" s="44" t="s">
        <v>477</v>
      </c>
    </row>
    <row r="628" spans="3:33" ht="15" customHeight="1" x14ac:dyDescent="0.35">
      <c r="C628" s="43" t="s">
        <v>960</v>
      </c>
      <c r="AG628" s="44" t="s">
        <v>488</v>
      </c>
    </row>
    <row r="629" spans="3:33" ht="15" customHeight="1" x14ac:dyDescent="0.35">
      <c r="C629" s="43" t="s">
        <v>958</v>
      </c>
      <c r="AG629" s="44" t="s">
        <v>497</v>
      </c>
    </row>
    <row r="630" spans="3:33" ht="15" customHeight="1" x14ac:dyDescent="0.35">
      <c r="C630" s="43" t="s">
        <v>959</v>
      </c>
      <c r="AG630" s="44" t="s">
        <v>524</v>
      </c>
    </row>
    <row r="631" spans="3:33" ht="15" customHeight="1" x14ac:dyDescent="0.35">
      <c r="C631" s="43" t="s">
        <v>812</v>
      </c>
      <c r="AG631" s="44" t="s">
        <v>495</v>
      </c>
    </row>
    <row r="632" spans="3:33" ht="15" customHeight="1" x14ac:dyDescent="0.35">
      <c r="C632" s="43" t="s">
        <v>954</v>
      </c>
      <c r="AG632" s="44" t="s">
        <v>494</v>
      </c>
    </row>
    <row r="633" spans="3:33" ht="15" customHeight="1" x14ac:dyDescent="0.35">
      <c r="C633" s="43" t="s">
        <v>876</v>
      </c>
      <c r="AG633" s="44" t="s">
        <v>302</v>
      </c>
    </row>
    <row r="634" spans="3:33" ht="15" customHeight="1" x14ac:dyDescent="0.35">
      <c r="C634" s="43" t="s">
        <v>355</v>
      </c>
      <c r="AG634" s="44" t="s">
        <v>300</v>
      </c>
    </row>
    <row r="635" spans="3:33" ht="15" customHeight="1" x14ac:dyDescent="0.35">
      <c r="C635" s="43" t="s">
        <v>827</v>
      </c>
      <c r="AG635" s="43" t="s">
        <v>680</v>
      </c>
    </row>
    <row r="636" spans="3:33" ht="15" customHeight="1" x14ac:dyDescent="0.35">
      <c r="C636" s="43" t="s">
        <v>813</v>
      </c>
      <c r="AG636" s="43" t="s">
        <v>683</v>
      </c>
    </row>
    <row r="637" spans="3:33" ht="15" customHeight="1" x14ac:dyDescent="0.35">
      <c r="C637" s="43" t="s">
        <v>955</v>
      </c>
      <c r="AG637" s="44" t="s">
        <v>304</v>
      </c>
    </row>
    <row r="638" spans="3:33" ht="15" customHeight="1" x14ac:dyDescent="0.35">
      <c r="C638" s="43" t="s">
        <v>877</v>
      </c>
      <c r="AG638" s="147" t="s">
        <v>547</v>
      </c>
    </row>
    <row r="639" spans="3:33" ht="15" customHeight="1" x14ac:dyDescent="0.35">
      <c r="C639" s="43" t="s">
        <v>356</v>
      </c>
      <c r="AG639" s="50" t="s">
        <v>148</v>
      </c>
    </row>
    <row r="640" spans="3:33" ht="15" customHeight="1" x14ac:dyDescent="0.35">
      <c r="C640" s="43" t="s">
        <v>828</v>
      </c>
      <c r="AG640" s="50" t="s">
        <v>167</v>
      </c>
    </row>
    <row r="641" spans="3:33" ht="15" customHeight="1" x14ac:dyDescent="0.35">
      <c r="C641" s="43" t="s">
        <v>814</v>
      </c>
      <c r="AG641" s="50" t="s">
        <v>139</v>
      </c>
    </row>
    <row r="642" spans="3:33" ht="15" customHeight="1" x14ac:dyDescent="0.35">
      <c r="C642" s="43" t="s">
        <v>956</v>
      </c>
      <c r="AG642" s="50" t="s">
        <v>162</v>
      </c>
    </row>
    <row r="643" spans="3:33" ht="15" customHeight="1" x14ac:dyDescent="0.35">
      <c r="C643" s="43" t="s">
        <v>878</v>
      </c>
      <c r="AG643" s="50" t="s">
        <v>147</v>
      </c>
    </row>
    <row r="644" spans="3:33" ht="15" customHeight="1" x14ac:dyDescent="0.35">
      <c r="C644" s="43" t="s">
        <v>829</v>
      </c>
      <c r="AG644" s="50" t="s">
        <v>166</v>
      </c>
    </row>
    <row r="645" spans="3:33" ht="15" customHeight="1" x14ac:dyDescent="0.35">
      <c r="C645" s="43" t="s">
        <v>815</v>
      </c>
      <c r="AG645" s="50" t="s">
        <v>161</v>
      </c>
    </row>
    <row r="646" spans="3:33" ht="15" customHeight="1" x14ac:dyDescent="0.35">
      <c r="C646" s="43" t="s">
        <v>816</v>
      </c>
      <c r="AG646" s="50" t="s">
        <v>137</v>
      </c>
    </row>
    <row r="647" spans="3:33" ht="15" customHeight="1" x14ac:dyDescent="0.35">
      <c r="C647" s="43" t="s">
        <v>120</v>
      </c>
      <c r="AG647" s="43" t="s">
        <v>782</v>
      </c>
    </row>
    <row r="648" spans="3:33" ht="15" customHeight="1" x14ac:dyDescent="0.35">
      <c r="C648" s="43" t="s">
        <v>784</v>
      </c>
      <c r="AG648" s="44" t="s">
        <v>549</v>
      </c>
    </row>
    <row r="649" spans="3:33" ht="15" customHeight="1" x14ac:dyDescent="0.35">
      <c r="C649" s="43" t="s">
        <v>785</v>
      </c>
      <c r="AG649" s="43" t="s">
        <v>507</v>
      </c>
    </row>
    <row r="650" spans="3:33" ht="15" customHeight="1" x14ac:dyDescent="0.35">
      <c r="C650" s="43" t="s">
        <v>768</v>
      </c>
      <c r="AG650" s="44" t="s">
        <v>103</v>
      </c>
    </row>
    <row r="651" spans="3:33" ht="15" customHeight="1" x14ac:dyDescent="0.35">
      <c r="C651" s="43" t="s">
        <v>780</v>
      </c>
      <c r="AG651" s="44" t="s">
        <v>368</v>
      </c>
    </row>
    <row r="652" spans="3:33" ht="15" customHeight="1" x14ac:dyDescent="0.35">
      <c r="C652" s="43" t="s">
        <v>769</v>
      </c>
      <c r="AG652" s="51" t="s">
        <v>366</v>
      </c>
    </row>
    <row r="653" spans="3:33" ht="15" customHeight="1" x14ac:dyDescent="0.35">
      <c r="C653" s="50" t="s">
        <v>145</v>
      </c>
      <c r="AG653" s="44" t="s">
        <v>377</v>
      </c>
    </row>
    <row r="654" spans="3:33" ht="15" customHeight="1" x14ac:dyDescent="0.35">
      <c r="C654" s="50" t="s">
        <v>165</v>
      </c>
      <c r="AG654" s="43" t="s">
        <v>460</v>
      </c>
    </row>
    <row r="655" spans="3:33" ht="15" customHeight="1" x14ac:dyDescent="0.35">
      <c r="C655" s="44" t="s">
        <v>306</v>
      </c>
      <c r="AG655" s="43" t="s">
        <v>459</v>
      </c>
    </row>
    <row r="656" spans="3:33" ht="15" customHeight="1" x14ac:dyDescent="0.35">
      <c r="C656" s="43" t="s">
        <v>510</v>
      </c>
      <c r="AG656" s="44" t="s">
        <v>473</v>
      </c>
    </row>
    <row r="657" spans="3:33" ht="15" customHeight="1" x14ac:dyDescent="0.35">
      <c r="C657" s="44" t="s">
        <v>482</v>
      </c>
      <c r="AG657" s="44" t="s">
        <v>487</v>
      </c>
    </row>
    <row r="658" spans="3:33" ht="15" customHeight="1" x14ac:dyDescent="0.35">
      <c r="C658" s="43" t="s">
        <v>753</v>
      </c>
      <c r="AG658" s="44" t="s">
        <v>496</v>
      </c>
    </row>
    <row r="659" spans="3:33" ht="15" customHeight="1" x14ac:dyDescent="0.35">
      <c r="C659" s="43" t="s">
        <v>774</v>
      </c>
      <c r="AG659" s="44" t="s">
        <v>525</v>
      </c>
    </row>
    <row r="660" spans="3:33" ht="15" customHeight="1" x14ac:dyDescent="0.35">
      <c r="C660" s="50" t="s">
        <v>150</v>
      </c>
      <c r="AG660" s="147" t="s">
        <v>543</v>
      </c>
    </row>
    <row r="661" spans="3:33" ht="15" customHeight="1" x14ac:dyDescent="0.35">
      <c r="C661" s="50" t="s">
        <v>169</v>
      </c>
      <c r="AG661" s="147" t="s">
        <v>544</v>
      </c>
    </row>
    <row r="662" spans="3:33" ht="15" customHeight="1" x14ac:dyDescent="0.35">
      <c r="C662" s="50" t="s">
        <v>143</v>
      </c>
      <c r="AG662" s="147" t="s">
        <v>545</v>
      </c>
    </row>
    <row r="663" spans="3:33" ht="15" customHeight="1" x14ac:dyDescent="0.35">
      <c r="C663" s="50" t="s">
        <v>164</v>
      </c>
      <c r="AG663" s="43" t="s">
        <v>762</v>
      </c>
    </row>
    <row r="664" spans="3:33" ht="15" customHeight="1" x14ac:dyDescent="0.35">
      <c r="C664" s="43" t="s">
        <v>754</v>
      </c>
      <c r="AG664" s="43" t="s">
        <v>504</v>
      </c>
    </row>
    <row r="665" spans="3:33" ht="15" customHeight="1" x14ac:dyDescent="0.35">
      <c r="C665" s="43" t="s">
        <v>775</v>
      </c>
      <c r="AG665" s="44" t="s">
        <v>493</v>
      </c>
    </row>
    <row r="666" spans="3:33" ht="15" customHeight="1" x14ac:dyDescent="0.35">
      <c r="C666" s="43" t="s">
        <v>67</v>
      </c>
      <c r="AG666" s="44" t="s">
        <v>298</v>
      </c>
    </row>
    <row r="667" spans="3:33" ht="15" customHeight="1" x14ac:dyDescent="0.35">
      <c r="C667" s="44" t="s">
        <v>101</v>
      </c>
      <c r="AG667" s="43" t="s">
        <v>679</v>
      </c>
    </row>
    <row r="668" spans="3:33" ht="15" customHeight="1" x14ac:dyDescent="0.35">
      <c r="C668" s="44" t="s">
        <v>100</v>
      </c>
      <c r="AG668" s="43" t="s">
        <v>682</v>
      </c>
    </row>
    <row r="669" spans="3:33" ht="15" customHeight="1" x14ac:dyDescent="0.35">
      <c r="C669" s="44" t="s">
        <v>383</v>
      </c>
      <c r="AG669" s="43" t="s">
        <v>832</v>
      </c>
    </row>
    <row r="670" spans="3:33" ht="15" customHeight="1" x14ac:dyDescent="0.35">
      <c r="C670" s="44" t="s">
        <v>373</v>
      </c>
      <c r="AG670" s="43" t="s">
        <v>833</v>
      </c>
    </row>
    <row r="671" spans="3:33" ht="15" customHeight="1" x14ac:dyDescent="0.35">
      <c r="C671" s="43" t="s">
        <v>681</v>
      </c>
    </row>
    <row r="672" spans="3:33" ht="15" customHeight="1" x14ac:dyDescent="0.35">
      <c r="C672" s="43" t="s">
        <v>684</v>
      </c>
    </row>
    <row r="673" spans="3:3" ht="15" customHeight="1" x14ac:dyDescent="0.35">
      <c r="C673" s="43" t="s">
        <v>961</v>
      </c>
    </row>
    <row r="674" spans="3:3" ht="15" customHeight="1" x14ac:dyDescent="0.35">
      <c r="C674" s="43" t="s">
        <v>962</v>
      </c>
    </row>
    <row r="675" spans="3:3" ht="15" customHeight="1" x14ac:dyDescent="0.35">
      <c r="C675" s="43" t="s">
        <v>817</v>
      </c>
    </row>
    <row r="676" spans="3:3" ht="15" customHeight="1" x14ac:dyDescent="0.35">
      <c r="C676" s="43" t="s">
        <v>818</v>
      </c>
    </row>
    <row r="677" spans="3:3" ht="15" customHeight="1" x14ac:dyDescent="0.35">
      <c r="C677" s="43" t="s">
        <v>820</v>
      </c>
    </row>
    <row r="678" spans="3:3" ht="15" customHeight="1" x14ac:dyDescent="0.35">
      <c r="C678" s="43" t="s">
        <v>786</v>
      </c>
    </row>
    <row r="679" spans="3:3" ht="15" customHeight="1" x14ac:dyDescent="0.35">
      <c r="C679" s="43" t="s">
        <v>787</v>
      </c>
    </row>
    <row r="680" spans="3:3" ht="15" customHeight="1" x14ac:dyDescent="0.35">
      <c r="C680" s="44" t="s">
        <v>305</v>
      </c>
    </row>
    <row r="681" spans="3:3" ht="15" customHeight="1" x14ac:dyDescent="0.35">
      <c r="C681" s="44" t="s">
        <v>480</v>
      </c>
    </row>
    <row r="682" spans="3:3" ht="15" customHeight="1" x14ac:dyDescent="0.35">
      <c r="C682" s="147" t="s">
        <v>546</v>
      </c>
    </row>
    <row r="683" spans="3:3" ht="15" customHeight="1" x14ac:dyDescent="0.35">
      <c r="C683" s="43" t="s">
        <v>770</v>
      </c>
    </row>
    <row r="684" spans="3:3" ht="15" customHeight="1" x14ac:dyDescent="0.35">
      <c r="C684" s="43" t="s">
        <v>781</v>
      </c>
    </row>
    <row r="685" spans="3:3" ht="15" customHeight="1" x14ac:dyDescent="0.35">
      <c r="C685" s="43" t="s">
        <v>771</v>
      </c>
    </row>
    <row r="686" spans="3:3" ht="15" customHeight="1" x14ac:dyDescent="0.35">
      <c r="C686" s="50" t="s">
        <v>149</v>
      </c>
    </row>
    <row r="687" spans="3:3" ht="15" customHeight="1" x14ac:dyDescent="0.35">
      <c r="C687" s="50" t="s">
        <v>168</v>
      </c>
    </row>
    <row r="688" spans="3:3" ht="15" customHeight="1" x14ac:dyDescent="0.35">
      <c r="C688" s="50" t="s">
        <v>141</v>
      </c>
    </row>
    <row r="689" spans="3:3" ht="15" customHeight="1" x14ac:dyDescent="0.35">
      <c r="C689" s="50" t="s">
        <v>163</v>
      </c>
    </row>
    <row r="690" spans="3:3" ht="15" customHeight="1" x14ac:dyDescent="0.35">
      <c r="C690" s="43" t="s">
        <v>756</v>
      </c>
    </row>
    <row r="691" spans="3:3" ht="15" customHeight="1" x14ac:dyDescent="0.35">
      <c r="C691" s="43" t="s">
        <v>776</v>
      </c>
    </row>
    <row r="692" spans="3:3" ht="15" customHeight="1" x14ac:dyDescent="0.35">
      <c r="C692" s="43" t="s">
        <v>772</v>
      </c>
    </row>
    <row r="693" spans="3:3" ht="15" customHeight="1" x14ac:dyDescent="0.35">
      <c r="C693" s="43" t="s">
        <v>758</v>
      </c>
    </row>
    <row r="694" spans="3:3" ht="15" customHeight="1" x14ac:dyDescent="0.35">
      <c r="C694" s="43" t="s">
        <v>777</v>
      </c>
    </row>
    <row r="695" spans="3:3" ht="15" customHeight="1" x14ac:dyDescent="0.35">
      <c r="C695" s="43" t="s">
        <v>760</v>
      </c>
    </row>
    <row r="696" spans="3:3" ht="15" customHeight="1" x14ac:dyDescent="0.35">
      <c r="C696" s="43" t="s">
        <v>778</v>
      </c>
    </row>
    <row r="697" spans="3:3" ht="15" customHeight="1" x14ac:dyDescent="0.35">
      <c r="C697" s="44" t="s">
        <v>548</v>
      </c>
    </row>
    <row r="698" spans="3:3" ht="15" customHeight="1" x14ac:dyDescent="0.35">
      <c r="C698" s="43" t="s">
        <v>508</v>
      </c>
    </row>
    <row r="699" spans="3:3" ht="15" customHeight="1" x14ac:dyDescent="0.35">
      <c r="C699" s="44" t="s">
        <v>102</v>
      </c>
    </row>
    <row r="700" spans="3:3" ht="15" customHeight="1" x14ac:dyDescent="0.35">
      <c r="C700" s="44" t="s">
        <v>370</v>
      </c>
    </row>
    <row r="701" spans="3:3" ht="15" customHeight="1" x14ac:dyDescent="0.35">
      <c r="C701" s="44" t="s">
        <v>380</v>
      </c>
    </row>
    <row r="702" spans="3:3" ht="15" customHeight="1" x14ac:dyDescent="0.35">
      <c r="C702" s="43" t="s">
        <v>462</v>
      </c>
    </row>
    <row r="703" spans="3:3" ht="15" customHeight="1" x14ac:dyDescent="0.35">
      <c r="C703" s="43" t="s">
        <v>461</v>
      </c>
    </row>
    <row r="704" spans="3:3" ht="15" customHeight="1" x14ac:dyDescent="0.35">
      <c r="C704" s="43" t="s">
        <v>736</v>
      </c>
    </row>
    <row r="705" spans="3:3" ht="15" customHeight="1" x14ac:dyDescent="0.35">
      <c r="C705" s="44" t="s">
        <v>477</v>
      </c>
    </row>
    <row r="706" spans="3:3" ht="15" customHeight="1" x14ac:dyDescent="0.35">
      <c r="C706" s="44" t="s">
        <v>488</v>
      </c>
    </row>
    <row r="707" spans="3:3" ht="15" customHeight="1" x14ac:dyDescent="0.35">
      <c r="C707" s="44" t="s">
        <v>497</v>
      </c>
    </row>
    <row r="708" spans="3:3" ht="15" customHeight="1" x14ac:dyDescent="0.35">
      <c r="C708" s="44" t="s">
        <v>524</v>
      </c>
    </row>
    <row r="709" spans="3:3" ht="15" customHeight="1" x14ac:dyDescent="0.35">
      <c r="C709" s="44" t="s">
        <v>495</v>
      </c>
    </row>
    <row r="710" spans="3:3" ht="15" customHeight="1" x14ac:dyDescent="0.35">
      <c r="C710" s="44" t="s">
        <v>494</v>
      </c>
    </row>
    <row r="711" spans="3:3" ht="15" customHeight="1" x14ac:dyDescent="0.35">
      <c r="C711" s="44" t="s">
        <v>302</v>
      </c>
    </row>
    <row r="712" spans="3:3" ht="15" customHeight="1" x14ac:dyDescent="0.35">
      <c r="C712" s="44" t="s">
        <v>300</v>
      </c>
    </row>
    <row r="713" spans="3:3" ht="15" customHeight="1" x14ac:dyDescent="0.35">
      <c r="C713" s="43" t="s">
        <v>680</v>
      </c>
    </row>
    <row r="714" spans="3:3" ht="15" customHeight="1" x14ac:dyDescent="0.35">
      <c r="C714" s="43" t="s">
        <v>683</v>
      </c>
    </row>
    <row r="715" spans="3:3" ht="15" customHeight="1" x14ac:dyDescent="0.35">
      <c r="C715" s="44" t="s">
        <v>304</v>
      </c>
    </row>
    <row r="716" spans="3:3" ht="15" customHeight="1" x14ac:dyDescent="0.35">
      <c r="C716" s="147" t="s">
        <v>547</v>
      </c>
    </row>
    <row r="717" spans="3:3" ht="15" customHeight="1" x14ac:dyDescent="0.35">
      <c r="C717" s="50" t="s">
        <v>148</v>
      </c>
    </row>
    <row r="718" spans="3:3" ht="15" customHeight="1" x14ac:dyDescent="0.35">
      <c r="C718" s="50" t="s">
        <v>167</v>
      </c>
    </row>
    <row r="719" spans="3:3" ht="15" customHeight="1" x14ac:dyDescent="0.35">
      <c r="C719" s="50" t="s">
        <v>139</v>
      </c>
    </row>
    <row r="720" spans="3:3" ht="15" customHeight="1" x14ac:dyDescent="0.35">
      <c r="C720" s="50" t="s">
        <v>162</v>
      </c>
    </row>
    <row r="721" spans="3:3" ht="15" customHeight="1" x14ac:dyDescent="0.35">
      <c r="C721" s="50" t="s">
        <v>147</v>
      </c>
    </row>
    <row r="722" spans="3:3" ht="15" customHeight="1" x14ac:dyDescent="0.35">
      <c r="C722" s="50" t="s">
        <v>166</v>
      </c>
    </row>
    <row r="723" spans="3:3" ht="15" customHeight="1" x14ac:dyDescent="0.35">
      <c r="C723" s="50" t="s">
        <v>161</v>
      </c>
    </row>
    <row r="724" spans="3:3" ht="15" customHeight="1" x14ac:dyDescent="0.35">
      <c r="C724" s="50" t="s">
        <v>137</v>
      </c>
    </row>
    <row r="725" spans="3:3" ht="15" customHeight="1" x14ac:dyDescent="0.35">
      <c r="C725" s="43" t="s">
        <v>782</v>
      </c>
    </row>
    <row r="726" spans="3:3" ht="15" customHeight="1" x14ac:dyDescent="0.35">
      <c r="C726" s="44" t="s">
        <v>549</v>
      </c>
    </row>
    <row r="727" spans="3:3" ht="15" customHeight="1" x14ac:dyDescent="0.35">
      <c r="C727" s="43" t="s">
        <v>507</v>
      </c>
    </row>
    <row r="728" spans="3:3" ht="15" customHeight="1" x14ac:dyDescent="0.35">
      <c r="C728" s="44" t="s">
        <v>103</v>
      </c>
    </row>
    <row r="729" spans="3:3" ht="15" customHeight="1" x14ac:dyDescent="0.35">
      <c r="C729" s="44" t="s">
        <v>368</v>
      </c>
    </row>
    <row r="730" spans="3:3" ht="15" customHeight="1" x14ac:dyDescent="0.35">
      <c r="C730" s="51" t="s">
        <v>366</v>
      </c>
    </row>
    <row r="731" spans="3:3" ht="15" customHeight="1" x14ac:dyDescent="0.35">
      <c r="C731" s="44" t="s">
        <v>377</v>
      </c>
    </row>
    <row r="732" spans="3:3" ht="15" customHeight="1" x14ac:dyDescent="0.35">
      <c r="C732" s="43" t="s">
        <v>460</v>
      </c>
    </row>
    <row r="733" spans="3:3" ht="15" customHeight="1" x14ac:dyDescent="0.35">
      <c r="C733" s="43" t="s">
        <v>459</v>
      </c>
    </row>
    <row r="734" spans="3:3" ht="15" customHeight="1" x14ac:dyDescent="0.35">
      <c r="C734" s="44" t="s">
        <v>473</v>
      </c>
    </row>
    <row r="735" spans="3:3" ht="15" customHeight="1" x14ac:dyDescent="0.35">
      <c r="C735" s="44" t="s">
        <v>487</v>
      </c>
    </row>
    <row r="736" spans="3:3" ht="15" customHeight="1" x14ac:dyDescent="0.35">
      <c r="C736" s="44" t="s">
        <v>496</v>
      </c>
    </row>
    <row r="737" spans="3:33" ht="15" customHeight="1" x14ac:dyDescent="0.35">
      <c r="C737" s="44" t="s">
        <v>525</v>
      </c>
    </row>
    <row r="738" spans="3:33" ht="15" customHeight="1" x14ac:dyDescent="0.35">
      <c r="C738" s="147" t="s">
        <v>543</v>
      </c>
    </row>
    <row r="739" spans="3:33" ht="15" customHeight="1" x14ac:dyDescent="0.35">
      <c r="C739" s="147" t="s">
        <v>544</v>
      </c>
    </row>
    <row r="740" spans="3:33" ht="15" customHeight="1" x14ac:dyDescent="0.35">
      <c r="C740" s="147" t="s">
        <v>545</v>
      </c>
    </row>
    <row r="741" spans="3:33" ht="15" customHeight="1" x14ac:dyDescent="0.35">
      <c r="C741" s="43" t="s">
        <v>762</v>
      </c>
    </row>
    <row r="742" spans="3:33" ht="15" customHeight="1" x14ac:dyDescent="0.35">
      <c r="C742" s="43" t="s">
        <v>504</v>
      </c>
    </row>
    <row r="743" spans="3:33" ht="15" customHeight="1" x14ac:dyDescent="0.35">
      <c r="C743" s="44" t="s">
        <v>493</v>
      </c>
    </row>
    <row r="744" spans="3:33" ht="15" customHeight="1" x14ac:dyDescent="0.35">
      <c r="C744" s="44" t="s">
        <v>298</v>
      </c>
      <c r="AG744" s="39"/>
    </row>
    <row r="745" spans="3:33" ht="15" customHeight="1" x14ac:dyDescent="0.35">
      <c r="C745" s="43" t="s">
        <v>679</v>
      </c>
    </row>
    <row r="746" spans="3:33" ht="15" customHeight="1" x14ac:dyDescent="0.35">
      <c r="C746" s="43" t="s">
        <v>682</v>
      </c>
    </row>
    <row r="747" spans="3:33" ht="15" customHeight="1" x14ac:dyDescent="0.35">
      <c r="C747" s="43" t="s">
        <v>832</v>
      </c>
    </row>
    <row r="748" spans="3:33" ht="15" customHeight="1" x14ac:dyDescent="0.35">
      <c r="C748" s="43" t="s">
        <v>833</v>
      </c>
    </row>
    <row r="749" spans="3:33" ht="15" customHeight="1" x14ac:dyDescent="0.35">
      <c r="C749" s="39"/>
    </row>
  </sheetData>
  <sortState xmlns:xlrd2="http://schemas.microsoft.com/office/spreadsheetml/2017/richdata2" ref="AG2:AG1913">
    <sortCondition ref="AG2:AG1913"/>
  </sortState>
  <dataValidations count="5">
    <dataValidation type="list" allowBlank="1" showInputMessage="1" showErrorMessage="1" sqref="AH2:AH458" xr:uid="{6CFEDD42-6B0D-4E48-B4C1-FF3AF7DD97CF}">
      <formula1>$AB$6:$AB$10</formula1>
    </dataValidation>
    <dataValidation type="list" allowBlank="1" showInputMessage="1" showErrorMessage="1" sqref="AI2" xr:uid="{97795BF4-DE37-4AA6-BAFD-908420D11CA0}">
      <formula1>$Z$6:$Z$14</formula1>
    </dataValidation>
    <dataValidation type="list" allowBlank="1" showInputMessage="1" showErrorMessage="1" sqref="AI3:AI458" xr:uid="{B368BA18-7CDC-45C9-BB1B-75074F45691A}">
      <formula1>$Z$6:$Z$10</formula1>
    </dataValidation>
    <dataValidation type="list" allowBlank="1" showInputMessage="1" showErrorMessage="1" sqref="AJ2:AJ106" xr:uid="{F8135D6B-FFDF-450D-ABA9-A14BD31FEB37}">
      <formula1>$AA$6:$AA$9</formula1>
    </dataValidation>
    <dataValidation type="list" allowBlank="1" showInputMessage="1" showErrorMessage="1" sqref="AK2:AK24" xr:uid="{D34962D3-BB8A-4243-9CEF-6602DF274019}">
      <formula1>$Y$6:$Y$9</formula1>
    </dataValidation>
  </dataValidations>
  <pageMargins left="0.51180555555555596" right="0.51180555555555596" top="0.78749999999999998" bottom="0.78749999999999998" header="0.511811023622047" footer="0.511811023622047"/>
  <pageSetup paperSize="9" orientation="portrait" horizontalDpi="300" verticalDpi="30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245</TotalTime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3</vt:i4>
      </vt:variant>
      <vt:variant>
        <vt:lpstr>Intervalos Nomeados</vt:lpstr>
      </vt:variant>
      <vt:variant>
        <vt:i4>3</vt:i4>
      </vt:variant>
    </vt:vector>
  </HeadingPairs>
  <TitlesOfParts>
    <vt:vector size="6" baseType="lpstr">
      <vt:lpstr>Capas</vt:lpstr>
      <vt:lpstr>Singular Estofados</vt:lpstr>
      <vt:lpstr>Plan1</vt:lpstr>
      <vt:lpstr>Capas!Area_de_impressao</vt:lpstr>
      <vt:lpstr>'Singular Estofados'!Area_de_impressao</vt:lpstr>
      <vt:lpstr>'Singular Estofados'!Titulos_de_impressao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Fabricio Silveira Abagge</dc:creator>
  <dc:description/>
  <cp:lastModifiedBy>RODRIGO CAMPOS</cp:lastModifiedBy>
  <cp:revision>11</cp:revision>
  <cp:lastPrinted>2025-04-07T19:05:23Z</cp:lastPrinted>
  <dcterms:created xsi:type="dcterms:W3CDTF">2015-11-23T15:54:16Z</dcterms:created>
  <dcterms:modified xsi:type="dcterms:W3CDTF">2025-11-13T01:12:23Z</dcterms:modified>
  <dc:language>pt-BR</dc:language>
</cp:coreProperties>
</file>